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7\11\"/>
    </mc:Choice>
  </mc:AlternateContent>
  <xr:revisionPtr revIDLastSave="0" documentId="13_ncr:1_{63D63871-EC24-44A8-AFD4-021D4641F6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4" r:id="rId1"/>
  </sheets>
  <definedNames>
    <definedName name="_xlnm._FilterDatabase" localSheetId="0" hidden="1">Доходы!$A$6:$IQ$6</definedName>
    <definedName name="Z_03D5E49F_24F7_44F7_8210_D85778C981A4_.wvu.FilterData" localSheetId="0" hidden="1">Доходы!$A$6:$AV$63</definedName>
    <definedName name="Z_117A7AA9_056F_4018_98AD_EAECFC43F1B3_.wvu.Cols" localSheetId="0" hidden="1">Доходы!$B:$H,Доходы!$J:$T,Доходы!$V:$V,Доходы!$Z:$Z,Доходы!$AE:$AE,Доходы!$AH:$AI,Доходы!$AL:$AM,Доходы!$AR:$AT</definedName>
    <definedName name="Z_117A7AA9_056F_4018_98AD_EAECFC43F1B3_.wvu.FilterData" localSheetId="0" hidden="1">Доходы!$A$6:$AV$63</definedName>
    <definedName name="Z_117A7AA9_056F_4018_98AD_EAECFC43F1B3_.wvu.PrintArea" localSheetId="0" hidden="1">Доходы!$A$1:$AQ$66</definedName>
    <definedName name="Z_117A7AA9_056F_4018_98AD_EAECFC43F1B3_.wvu.PrintTitles" localSheetId="0" hidden="1">Доходы!$4:$6</definedName>
    <definedName name="Z_117A7AA9_056F_4018_98AD_EAECFC43F1B3_.wvu.Rows" localSheetId="0" hidden="1">Доходы!$68:$69</definedName>
    <definedName name="Z_4CBCD9D8_B3F5_4722_8CE7_38B89561B806_.wvu.Cols" localSheetId="0" hidden="1">Доходы!$B:$H,Доходы!$J:$O,Доходы!$AE:$AE,Доходы!$AL:$AM,Доходы!$AR:$AT</definedName>
    <definedName name="Z_4CBCD9D8_B3F5_4722_8CE7_38B89561B806_.wvu.PrintArea" localSheetId="0" hidden="1">Доходы!$A$1:$AT$66</definedName>
    <definedName name="Z_4CBCD9D8_B3F5_4722_8CE7_38B89561B806_.wvu.PrintTitles" localSheetId="0" hidden="1">Доходы!$4:$6</definedName>
    <definedName name="Z_4CBCD9D8_B3F5_4722_8CE7_38B89561B806_.wvu.Rows" localSheetId="0" hidden="1">Доходы!$68:$69</definedName>
    <definedName name="Z_583FA723_9D22_4D8A_87C2_40F053D3EC03_.wvu.FilterData" localSheetId="0" hidden="1">Доходы!$A$6:$AV$63</definedName>
    <definedName name="Z_65E97C0E_073B_49BA_9AB4_D888408B0A75_.wvu.FilterData" localSheetId="0" hidden="1">Доходы!$A$6:$AV$63</definedName>
    <definedName name="Z_71A44519_BDEF_434C_95CC_A4A24B3AF9C3_.wvu.FilterData" localSheetId="0" hidden="1">Доходы!$A$6:$AV$63</definedName>
    <definedName name="Z_7DC50C37_F81E_464D_BE66_31375C660B0F_.wvu.Cols" localSheetId="0" hidden="1">Доходы!$B:$H,Доходы!$J:$L,Доходы!$N:$N,Доходы!$Q:$Q,Доходы!$AE:$AE,Доходы!$AL:$AM,Доходы!$AT:$AT</definedName>
    <definedName name="Z_7DC50C37_F81E_464D_BE66_31375C660B0F_.wvu.PrintArea" localSheetId="0" hidden="1">Доходы!$A$1:$AT$66</definedName>
    <definedName name="Z_7DC50C37_F81E_464D_BE66_31375C660B0F_.wvu.PrintTitles" localSheetId="0" hidden="1">Доходы!$4:$6</definedName>
    <definedName name="Z_7DC50C37_F81E_464D_BE66_31375C660B0F_.wvu.Rows" localSheetId="0" hidden="1">Доходы!$68:$69</definedName>
    <definedName name="Z_EFA3296C_EA11_4228_A03B_6841E5AF5251_.wvu.Cols" localSheetId="0" hidden="1">Доходы!$B:$H,Доходы!$J:$T,Доходы!$V:$V,Доходы!$Z:$Z,Доходы!$AH:$AI,Доходы!$AL:$AM,Доходы!$AR:$AT</definedName>
    <definedName name="Z_EFA3296C_EA11_4228_A03B_6841E5AF5251_.wvu.FilterData" localSheetId="0" hidden="1">Доходы!$A$6:$AV$63</definedName>
    <definedName name="Z_EFA3296C_EA11_4228_A03B_6841E5AF5251_.wvu.PrintArea" localSheetId="0" hidden="1">Доходы!$A$1:$AR$66</definedName>
    <definedName name="Z_EFA3296C_EA11_4228_A03B_6841E5AF5251_.wvu.PrintTitles" localSheetId="0" hidden="1">Доходы!$4:$6</definedName>
    <definedName name="Z_EFA3296C_EA11_4228_A03B_6841E5AF5251_.wvu.Rows" localSheetId="0" hidden="1">Доходы!$68:$69</definedName>
    <definedName name="_xlnm.Print_Titles" localSheetId="0">Доходы!$4:$6</definedName>
    <definedName name="_xlnm.Print_Area" localSheetId="0">Доходы!$B$1:$AQ$66</definedName>
  </definedNames>
  <calcPr calcId="191029"/>
  <customWorkbookViews>
    <customWorkbookView name="BLPUSP2 - Личное представление" guid="{EFA3296C-EA11-4228-A03B-6841E5AF5251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8" i="4" l="1"/>
  <c r="AA26" i="4"/>
  <c r="AD50" i="4"/>
  <c r="AC50" i="4"/>
  <c r="AB50" i="4"/>
  <c r="AA50" i="4"/>
  <c r="AC54" i="4"/>
  <c r="AD54" i="4"/>
  <c r="AE50" i="4"/>
  <c r="AC45" i="4"/>
  <c r="AD45" i="4"/>
  <c r="AC38" i="4"/>
  <c r="AC37" i="4" s="1"/>
  <c r="AD38" i="4"/>
  <c r="AD37" i="4" s="1"/>
  <c r="AC31" i="4"/>
  <c r="AD31" i="4"/>
  <c r="AC29" i="4"/>
  <c r="AD29" i="4"/>
  <c r="AC27" i="4"/>
  <c r="AD27" i="4"/>
  <c r="AC24" i="4"/>
  <c r="AD24" i="4"/>
  <c r="AC17" i="4"/>
  <c r="AC9" i="4" s="1"/>
  <c r="AD17" i="4"/>
  <c r="AD9" i="4" s="1"/>
  <c r="AD23" i="4" l="1"/>
  <c r="AD22" i="4" s="1"/>
  <c r="AD7" i="4" s="1"/>
  <c r="AD63" i="4" s="1"/>
  <c r="AC23" i="4"/>
  <c r="AC22" i="4" s="1"/>
  <c r="AC7" i="4" s="1"/>
  <c r="AC8" i="4" l="1"/>
  <c r="AC63" i="4"/>
  <c r="AD8" i="4"/>
  <c r="V28" i="4" l="1"/>
  <c r="V26" i="4"/>
  <c r="V18" i="4"/>
  <c r="AB28" i="4"/>
  <c r="AB26" i="4"/>
  <c r="AF10" i="4" l="1"/>
  <c r="AE63" i="4" l="1"/>
  <c r="AF49" i="4" l="1"/>
  <c r="Y12" i="4"/>
  <c r="Y10" i="4" l="1"/>
  <c r="U12" i="4"/>
  <c r="AF51" i="4" l="1"/>
  <c r="AB54" i="4"/>
  <c r="AA54" i="4"/>
  <c r="Z54" i="4"/>
  <c r="X54" i="4"/>
  <c r="W54" i="4"/>
  <c r="V54" i="4"/>
  <c r="U54" i="4"/>
  <c r="AF15" i="4" l="1"/>
  <c r="AF40" i="4"/>
  <c r="AF26" i="4"/>
  <c r="AO26" i="4" s="1"/>
  <c r="AF32" i="4"/>
  <c r="AK32" i="4" s="1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O34" i="4" s="1"/>
  <c r="AF39" i="4"/>
  <c r="AF41" i="4"/>
  <c r="AF44" i="4"/>
  <c r="AK14" i="4" l="1"/>
  <c r="AO14" i="4"/>
  <c r="AG34" i="4" l="1"/>
  <c r="AG33" i="4"/>
  <c r="AG32" i="4"/>
  <c r="Y60" i="4"/>
  <c r="Y18" i="4"/>
  <c r="Y20" i="4"/>
  <c r="Y19" i="4"/>
  <c r="AQ19" i="4" s="1"/>
  <c r="Y16" i="4"/>
  <c r="AQ16" i="4" s="1"/>
  <c r="Y15" i="4"/>
  <c r="AQ15" i="4" s="1"/>
  <c r="Y14" i="4"/>
  <c r="AQ14" i="4" s="1"/>
  <c r="Y13" i="4"/>
  <c r="Y11" i="4"/>
  <c r="AP13" i="4" l="1"/>
  <c r="AP12" i="4"/>
  <c r="AQ12" i="4"/>
  <c r="U10" i="4" l="1"/>
  <c r="T50" i="4"/>
  <c r="S50" i="4"/>
  <c r="T17" i="4"/>
  <c r="T9" i="4" s="1"/>
  <c r="T24" i="4"/>
  <c r="T23" i="4" s="1"/>
  <c r="T27" i="4"/>
  <c r="T29" i="4"/>
  <c r="T31" i="4"/>
  <c r="T38" i="4"/>
  <c r="T37" i="4" s="1"/>
  <c r="T45" i="4"/>
  <c r="T54" i="4"/>
  <c r="S54" i="4"/>
  <c r="S45" i="4"/>
  <c r="S42" i="4"/>
  <c r="S40" i="4"/>
  <c r="S38" i="4"/>
  <c r="S37" i="4"/>
  <c r="S31" i="4"/>
  <c r="S29" i="4"/>
  <c r="S28" i="4"/>
  <c r="S27" i="4" s="1"/>
  <c r="S26" i="4"/>
  <c r="S24" i="4" s="1"/>
  <c r="S23" i="4" s="1"/>
  <c r="S22" i="4" s="1"/>
  <c r="S25" i="4"/>
  <c r="S19" i="4"/>
  <c r="S18" i="4"/>
  <c r="S17" i="4"/>
  <c r="S9" i="4" s="1"/>
  <c r="T22" i="4" l="1"/>
  <c r="T7" i="4" s="1"/>
  <c r="T8" i="4" s="1"/>
  <c r="S7" i="4"/>
  <c r="S8" i="4" s="1"/>
  <c r="AG52" i="4" l="1"/>
  <c r="AG53" i="4"/>
  <c r="AF52" i="4"/>
  <c r="AF35" i="4"/>
  <c r="AF33" i="4"/>
  <c r="Y52" i="4"/>
  <c r="Y53" i="4"/>
  <c r="Y51" i="4"/>
  <c r="V50" i="4"/>
  <c r="W50" i="4"/>
  <c r="X50" i="4"/>
  <c r="U52" i="4"/>
  <c r="U53" i="4"/>
  <c r="U51" i="4"/>
  <c r="U50" i="4" s="1"/>
  <c r="Y33" i="4"/>
  <c r="Y34" i="4"/>
  <c r="AQ34" i="4" s="1"/>
  <c r="Y35" i="4"/>
  <c r="Y32" i="4"/>
  <c r="Z31" i="4"/>
  <c r="AA31" i="4"/>
  <c r="AB31" i="4"/>
  <c r="V31" i="4"/>
  <c r="W31" i="4"/>
  <c r="X31" i="4"/>
  <c r="U34" i="4"/>
  <c r="U35" i="4"/>
  <c r="U33" i="4"/>
  <c r="U32" i="4"/>
  <c r="AO33" i="4" l="1"/>
  <c r="AK33" i="4"/>
  <c r="AQ35" i="4"/>
  <c r="AQ33" i="4"/>
  <c r="AJ32" i="4"/>
  <c r="AQ32" i="4"/>
  <c r="AO32" i="4"/>
  <c r="AN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8" i="4"/>
  <c r="AF46" i="4"/>
  <c r="AF47" i="4"/>
  <c r="AO47" i="4" s="1"/>
  <c r="X17" i="4" l="1"/>
  <c r="V24" i="4" l="1"/>
  <c r="Y42" i="4"/>
  <c r="Y41" i="4"/>
  <c r="AQ41" i="4" s="1"/>
  <c r="AA24" i="4"/>
  <c r="AB24" i="4"/>
  <c r="X9" i="4" l="1"/>
  <c r="AB38" i="4"/>
  <c r="AB37" i="4" s="1"/>
  <c r="AM63" i="4"/>
  <c r="Q63" i="4"/>
  <c r="AM62" i="4"/>
  <c r="AG62" i="4"/>
  <c r="AF62" i="4"/>
  <c r="Y62" i="4"/>
  <c r="AQ62" i="4" s="1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Y50" i="4"/>
  <c r="R51" i="4"/>
  <c r="P51" i="4"/>
  <c r="M51" i="4"/>
  <c r="K51" i="4"/>
  <c r="AM50" i="4"/>
  <c r="AG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AB45" i="4"/>
  <c r="AA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AA38" i="4"/>
  <c r="AA37" i="4" s="1"/>
  <c r="Z38" i="4"/>
  <c r="Z37" i="4" s="1"/>
  <c r="X38" i="4"/>
  <c r="X37" i="4" s="1"/>
  <c r="V38" i="4"/>
  <c r="V37" i="4" s="1"/>
  <c r="M38" i="4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AB29" i="4"/>
  <c r="AA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AB27" i="4"/>
  <c r="AA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R18" i="4"/>
  <c r="P18" i="4"/>
  <c r="M18" i="4"/>
  <c r="K18" i="4"/>
  <c r="AM17" i="4"/>
  <c r="AG17" i="4"/>
  <c r="AB17" i="4"/>
  <c r="AB9" i="4" s="1"/>
  <c r="AA17" i="4"/>
  <c r="AA9" i="4" s="1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M37" i="4" l="1"/>
  <c r="K17" i="4"/>
  <c r="R17" i="4"/>
  <c r="U17" i="4"/>
  <c r="AQ59" i="4"/>
  <c r="AF54" i="4"/>
  <c r="W9" i="4"/>
  <c r="T3" i="4"/>
  <c r="AK30" i="4"/>
  <c r="AQ30" i="4"/>
  <c r="AO30" i="4"/>
  <c r="AQ58" i="4"/>
  <c r="AQ56" i="4"/>
  <c r="AO55" i="4"/>
  <c r="Y54" i="4"/>
  <c r="AN11" i="4"/>
  <c r="AQ11" i="4"/>
  <c r="AN56" i="4"/>
  <c r="AO56" i="4"/>
  <c r="AK56" i="4"/>
  <c r="AQ43" i="4"/>
  <c r="AN19" i="4"/>
  <c r="AH61" i="4"/>
  <c r="AL57" i="4"/>
  <c r="AO57" i="4"/>
  <c r="AN58" i="4"/>
  <c r="AO58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U45" i="4"/>
  <c r="P45" i="4"/>
  <c r="U23" i="4"/>
  <c r="R37" i="4"/>
  <c r="K54" i="4"/>
  <c r="AN42" i="4"/>
  <c r="AL13" i="4"/>
  <c r="AN46" i="4"/>
  <c r="AP21" i="4"/>
  <c r="Y45" i="4"/>
  <c r="Y17" i="4"/>
  <c r="AR35" i="4"/>
  <c r="AK47" i="4"/>
  <c r="AR47" i="4"/>
  <c r="AF29" i="4"/>
  <c r="AG38" i="4"/>
  <c r="AS35" i="4"/>
  <c r="AL56" i="4"/>
  <c r="AN39" i="4"/>
  <c r="AR56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B23" i="4"/>
  <c r="AB22" i="4" s="1"/>
  <c r="AB7" i="4" s="1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J13" i="4"/>
  <c r="AT13" i="4"/>
  <c r="AT15" i="4"/>
  <c r="AL15" i="4"/>
  <c r="AK15" i="4"/>
  <c r="AP15" i="4"/>
  <c r="R23" i="4"/>
  <c r="AA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Q29" i="4" l="1"/>
  <c r="AO29" i="4"/>
  <c r="AQ45" i="4"/>
  <c r="Y9" i="4"/>
  <c r="AQ17" i="4"/>
  <c r="AS24" i="4"/>
  <c r="AO24" i="4"/>
  <c r="AS29" i="4"/>
  <c r="AK29" i="4"/>
  <c r="K7" i="4"/>
  <c r="K63" i="4" s="1"/>
  <c r="S63" i="4"/>
  <c r="AA22" i="4"/>
  <c r="AA7" i="4" s="1"/>
  <c r="AA8" i="4" s="1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V8" i="4"/>
  <c r="V63" i="4"/>
  <c r="V66" i="4" s="1"/>
  <c r="AT54" i="4"/>
  <c r="AB8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Y7" i="4" l="1"/>
  <c r="Y8" i="4" s="1"/>
  <c r="V3" i="4"/>
  <c r="W8" i="4"/>
  <c r="AA63" i="4"/>
  <c r="P8" i="4"/>
  <c r="V65" i="4"/>
  <c r="AG7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Y63" i="4" l="1"/>
  <c r="Z3" i="4" s="1"/>
  <c r="AG8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Q63" i="4" l="1"/>
  <c r="AG63" i="4"/>
  <c r="AL63" i="4"/>
  <c r="AK63" i="4"/>
  <c r="AR63" i="4"/>
  <c r="AJ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T63" i="4"/>
  <c r="U13" i="4"/>
  <c r="U9" i="4" s="1"/>
  <c r="R13" i="4"/>
  <c r="R7" i="4" s="1"/>
  <c r="U7" i="4" l="1"/>
  <c r="U8" i="4" s="1"/>
  <c r="R8" i="4"/>
  <c r="R63" i="4"/>
  <c r="U63" i="4"/>
</calcChain>
</file>

<file path=xl/sharedStrings.xml><?xml version="1.0" encoding="utf-8"?>
<sst xmlns="http://schemas.openxmlformats.org/spreadsheetml/2006/main" count="132" uniqueCount="108">
  <si>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</si>
  <si>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</si>
  <si>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</si>
  <si>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</si>
  <si>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</si>
  <si>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</si>
  <si>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</si>
  <si>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</si>
  <si>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</si>
  <si>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</si>
  <si>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</si>
  <si>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</si>
  <si>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</si>
  <si>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</si>
  <si>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</si>
  <si>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</si>
  <si>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</si>
  <si>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</si>
  <si>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</si>
  <si>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</si>
  <si>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</si>
  <si>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</si>
  <si>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</si>
  <si>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</si>
  <si>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</si>
  <si>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</si>
  <si>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</si>
  <si>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</si>
  <si>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</si>
  <si>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</si>
  <si>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</si>
  <si>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</si>
  <si>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</si>
  <si>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</si>
  <si>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</si>
  <si>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</si>
  <si>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</si>
  <si>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</si>
  <si>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</si>
  <si>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</si>
  <si>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</si>
  <si>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</si>
  <si>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</si>
  <si>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</si>
  <si>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</si>
  <si>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</si>
  <si>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</si>
  <si>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</si>
  <si>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</si>
  <si>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</si>
  <si>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</si>
  <si>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</si>
  <si>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</si>
  <si>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</si>
  <si>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</si>
  <si>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</si>
  <si>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</si>
  <si>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</si>
  <si>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</si>
  <si>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</si>
  <si>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</si>
  <si>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</si>
  <si>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</si>
  <si>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</si>
  <si>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</si>
  <si>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</si>
  <si>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</si>
  <si>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</si>
  <si>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</si>
  <si>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</si>
  <si>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</si>
  <si>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</si>
  <si>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</si>
  <si>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</si>
  <si>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</si>
  <si>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</si>
  <si>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</si>
  <si>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</si>
  <si>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</si>
  <si>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</si>
  <si>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</si>
  <si>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</si>
  <si>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</si>
  <si>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</si>
  <si>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</si>
  <si>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</si>
  <si>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</si>
  <si>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</si>
  <si>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</si>
  <si>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</si>
  <si>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</si>
  <si>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</si>
  <si>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</si>
  <si>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</si>
  <si>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</si>
  <si>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744 1 13 01994 14 0000 130</t>
  </si>
  <si>
    <t>в т.ч. 701 Администрация БМО СК</t>
  </si>
  <si>
    <t>Исполнено с 01.01.2023 года по 06.06.2023 год (в сопоставимых условиях 2024 года)     (31,84%)</t>
  </si>
  <si>
    <t>начальник ФУ АБМО СК</t>
  </si>
  <si>
    <t>откл.+- от плана за 7 месяцев 2024 года</t>
  </si>
  <si>
    <t>Исполнение бюджета Благодарненского муниципального округа Ставропольского края по доходам по состоянию на 11.07.2024 года</t>
  </si>
  <si>
    <t>Исполнено с 01.01.2023 по 11.07.2023 год</t>
  </si>
  <si>
    <r>
      <t>Исполнено с 01.01.2023 года по 11.07.2023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</si>
  <si>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28.06.2024 по 04.07.2024 (неделя) П</t>
  </si>
  <si>
    <t>с 05.07.2024 по 11.07.2024 (неделя) Т</t>
  </si>
  <si>
    <t>Исполнение с 01.01.2024 по 04.07.2024
(53,08%)</t>
  </si>
  <si>
    <r>
      <t xml:space="preserve">Исполнение с 01.01.2024 по 11.07.2024
</t>
    </r>
    <r>
      <rPr>
        <b/>
        <sz val="14"/>
        <rFont val="Times New Roman"/>
        <family val="1"/>
        <charset val="204"/>
      </rPr>
      <t>(53,08%)</t>
    </r>
  </si>
  <si>
    <t>откл.+- от исполнения на 11.07.2023 г  (в сопоставимых условиях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</si>
</sst>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rgb="FF7030A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  <xf numFmtId="0" fontId="28" fillId="0" borderId="0"/>
  </cellStyleXfs>
  <cellXfs count="148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4" fillId="13" borderId="2" xfId="1" applyNumberFormat="1" applyFont="1" applyFill="1" applyBorder="1" applyAlignment="1" applyProtection="1">
      <alignment horizontal="right"/>
      <protection hidden="1"/>
    </xf>
    <xf numFmtId="164" fontId="4" fillId="7" borderId="2" xfId="1" applyNumberFormat="1" applyFont="1" applyFill="1" applyBorder="1" applyProtection="1">
      <protection hidden="1"/>
    </xf>
    <xf numFmtId="4" fontId="29" fillId="0" borderId="0" xfId="1" applyNumberFormat="1" applyFont="1"/>
    <xf numFmtId="164" fontId="3" fillId="3" borderId="2" xfId="1" applyNumberFormat="1" applyFont="1" applyFill="1" applyBorder="1" applyAlignment="1" applyProtection="1">
      <alignment horizontal="right"/>
      <protection hidden="1"/>
    </xf>
    <xf numFmtId="165" fontId="29" fillId="0" borderId="0" xfId="1" applyNumberFormat="1" applyFont="1"/>
    <xf numFmtId="4" fontId="5" fillId="0" borderId="0" xfId="1" applyNumberFormat="1" applyFont="1" applyAlignment="1">
      <alignment horizontal="center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</cellXfs>
  <cellStyles count="27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18" xfId="26" xr:uid="{EF6831F7-33A4-4AF3-B246-690CBF8C6D8B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tabSelected="1" view="pageBreakPreview" zoomScale="66" zoomScaleNormal="68" zoomScaleSheetLayoutView="66" workbookViewId="0">
      <pane xSplit="20" ySplit="6" topLeftCell="U7" activePane="bottomRight" state="frozen"/>
      <selection pane="topRight" activeCell="U1" sqref="U1"/>
      <selection pane="bottomLeft" activeCell="A7" sqref="A7"/>
      <selection pane="bottomRight" activeCell="AA4" sqref="AA4:AB5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2.28515625" style="1" hidden="1" customWidth="1"/>
    <col min="21" max="21" width="23.7109375" style="1" customWidth="1"/>
    <col min="22" max="22" width="23.140625" style="1" hidden="1" customWidth="1"/>
    <col min="23" max="23" width="20.7109375" style="1" hidden="1" customWidth="1"/>
    <col min="24" max="24" width="22.710937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5.5703125" style="1" hidden="1" customWidth="1"/>
    <col min="32" max="32" width="26.710937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40" t="s">
        <v>100</v>
      </c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37.492254935475756</v>
      </c>
      <c r="U3" s="104"/>
      <c r="V3" s="106">
        <f>V8/S8%</f>
        <v>39.56079815240814</v>
      </c>
      <c r="W3" s="106"/>
      <c r="X3" s="105"/>
      <c r="Y3" s="80"/>
      <c r="Z3" s="80">
        <f>U3-Y63</f>
        <v>-1362578185.1385553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41" t="s">
        <v>34</v>
      </c>
      <c r="J4" s="134" t="s">
        <v>44</v>
      </c>
      <c r="K4" s="134" t="s">
        <v>50</v>
      </c>
      <c r="L4" s="139" t="s">
        <v>55</v>
      </c>
      <c r="M4" s="134" t="s">
        <v>53</v>
      </c>
      <c r="N4" s="134" t="s">
        <v>52</v>
      </c>
      <c r="O4" s="139" t="s">
        <v>49</v>
      </c>
      <c r="P4" s="134" t="s">
        <v>62</v>
      </c>
      <c r="Q4" s="139" t="s">
        <v>64</v>
      </c>
      <c r="R4" s="134" t="s">
        <v>63</v>
      </c>
      <c r="S4" s="133" t="s">
        <v>80</v>
      </c>
      <c r="T4" s="139" t="s">
        <v>79</v>
      </c>
      <c r="U4" s="134" t="s">
        <v>81</v>
      </c>
      <c r="V4" s="139" t="s">
        <v>101</v>
      </c>
      <c r="W4" s="142" t="s">
        <v>74</v>
      </c>
      <c r="X4" s="130" t="s">
        <v>78</v>
      </c>
      <c r="Y4" s="134" t="s">
        <v>102</v>
      </c>
      <c r="Z4" s="135" t="s">
        <v>65</v>
      </c>
      <c r="AA4" s="144" t="s">
        <v>93</v>
      </c>
      <c r="AB4" s="145"/>
      <c r="AC4" s="127" t="s">
        <v>56</v>
      </c>
      <c r="AD4" s="127"/>
      <c r="AE4" s="137" t="s">
        <v>105</v>
      </c>
      <c r="AF4" s="134" t="s">
        <v>106</v>
      </c>
      <c r="AG4" s="131" t="s">
        <v>43</v>
      </c>
      <c r="AH4" s="133" t="s">
        <v>66</v>
      </c>
      <c r="AI4" s="133"/>
      <c r="AJ4" s="127" t="s">
        <v>92</v>
      </c>
      <c r="AK4" s="127"/>
      <c r="AL4" s="127" t="s">
        <v>51</v>
      </c>
      <c r="AM4" s="127"/>
      <c r="AN4" s="127" t="s">
        <v>99</v>
      </c>
      <c r="AO4" s="127"/>
      <c r="AP4" s="127" t="s">
        <v>107</v>
      </c>
      <c r="AQ4" s="127"/>
      <c r="AR4" s="127" t="s">
        <v>54</v>
      </c>
      <c r="AS4" s="127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41"/>
      <c r="J5" s="134"/>
      <c r="K5" s="134"/>
      <c r="L5" s="139"/>
      <c r="M5" s="134"/>
      <c r="N5" s="134"/>
      <c r="O5" s="139"/>
      <c r="P5" s="134"/>
      <c r="Q5" s="139"/>
      <c r="R5" s="134"/>
      <c r="S5" s="133"/>
      <c r="T5" s="139"/>
      <c r="U5" s="134"/>
      <c r="V5" s="139"/>
      <c r="W5" s="143"/>
      <c r="X5" s="130"/>
      <c r="Y5" s="134"/>
      <c r="Z5" s="136"/>
      <c r="AA5" s="146"/>
      <c r="AB5" s="147"/>
      <c r="AC5" s="79" t="s">
        <v>103</v>
      </c>
      <c r="AD5" s="79" t="s">
        <v>104</v>
      </c>
      <c r="AE5" s="138"/>
      <c r="AF5" s="134"/>
      <c r="AG5" s="132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28" t="s">
        <v>8</v>
      </c>
      <c r="C7" s="128"/>
      <c r="D7" s="128"/>
      <c r="E7" s="128"/>
      <c r="F7" s="128"/>
      <c r="G7" s="128"/>
      <c r="H7" s="128"/>
      <c r="I7" s="128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122548924.73554319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170286232.38</v>
      </c>
      <c r="W7" s="44">
        <f>V7/S7%</f>
        <v>41.549802033177869</v>
      </c>
      <c r="X7" s="44">
        <f>X9+X22</f>
        <v>0</v>
      </c>
      <c r="Y7" s="44">
        <f>Y9+Y22</f>
        <v>227427856.99855524</v>
      </c>
      <c r="Z7" s="44">
        <f t="shared" ref="Z7:AF7" si="2">Z9+Z22</f>
        <v>400415099.64999998</v>
      </c>
      <c r="AA7" s="44">
        <f t="shared" si="2"/>
        <v>582151163.87</v>
      </c>
      <c r="AB7" s="44">
        <f t="shared" si="2"/>
        <v>321526663.13</v>
      </c>
      <c r="AC7" s="44">
        <f t="shared" si="2"/>
        <v>21884482.02</v>
      </c>
      <c r="AD7" s="44">
        <f t="shared" si="2"/>
        <v>7844379.7199999997</v>
      </c>
      <c r="AE7" s="44">
        <v>280556372.26999998</v>
      </c>
      <c r="AF7" s="44">
        <f t="shared" si="2"/>
        <v>288400751.99000007</v>
      </c>
      <c r="AG7" s="44">
        <f>AD7-AC7</f>
        <v>-14040102.300000001</v>
      </c>
      <c r="AH7" s="44">
        <f t="shared" ref="AH7:AH63" si="3">AF7-Z7</f>
        <v>-112014347.65999991</v>
      </c>
      <c r="AI7" s="44">
        <f t="shared" ref="AI7:AI28" si="4">AF7/Z7*100</f>
        <v>72.025443656367898</v>
      </c>
      <c r="AJ7" s="44">
        <f>AF7-AA7</f>
        <v>-293750411.87999994</v>
      </c>
      <c r="AK7" s="44">
        <f>AF7/AA7%</f>
        <v>49.540526565777469</v>
      </c>
      <c r="AL7" s="44" t="e">
        <f>AF7-#REF!</f>
        <v>#REF!</v>
      </c>
      <c r="AM7" s="44" t="e">
        <f>IF(#REF!=0,0,AF7/#REF!*100)</f>
        <v>#REF!</v>
      </c>
      <c r="AN7" s="44">
        <f>AF7-AB7</f>
        <v>-33125911.139999926</v>
      </c>
      <c r="AO7" s="44">
        <f>AF7/AB7*100</f>
        <v>89.697305095158967</v>
      </c>
      <c r="AP7" s="44">
        <f>AF7-Y7</f>
        <v>60972894.991444826</v>
      </c>
      <c r="AQ7" s="44">
        <f>AF7/Y7%</f>
        <v>126.80977422736397</v>
      </c>
      <c r="AR7" s="44">
        <f>AF7-M7</f>
        <v>165851827.25445688</v>
      </c>
      <c r="AS7" s="44">
        <f>IF(M7=0,0,AF7/M7*100)</f>
        <v>235.33519581045695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5">S7-S37-S53</f>
        <v>370081037.89000005</v>
      </c>
      <c r="T8" s="52">
        <f t="shared" si="5"/>
        <v>392540175.78000003</v>
      </c>
      <c r="U8" s="52">
        <f>U7-U37-U53+U44-31715.49-30845.55-10000-18222.76-1302-275200</f>
        <v>544501974.11584198</v>
      </c>
      <c r="V8" s="52">
        <f>V7-V37-V53</f>
        <v>146407012.40000001</v>
      </c>
      <c r="W8" s="44">
        <f>V8/S8%</f>
        <v>39.56079815240814</v>
      </c>
      <c r="X8" s="52">
        <f t="shared" ref="X8:AD8" si="6">X7-X37-X53</f>
        <v>0</v>
      </c>
      <c r="Y8" s="52">
        <f t="shared" si="6"/>
        <v>203548637.01855525</v>
      </c>
      <c r="Z8" s="52">
        <f t="shared" si="6"/>
        <v>372608810</v>
      </c>
      <c r="AA8" s="52">
        <f t="shared" si="6"/>
        <v>547763993.51999998</v>
      </c>
      <c r="AB8" s="52">
        <f t="shared" si="6"/>
        <v>299383491.90000004</v>
      </c>
      <c r="AC8" s="52">
        <f t="shared" si="6"/>
        <v>21344967.549999997</v>
      </c>
      <c r="AD8" s="52">
        <f t="shared" si="6"/>
        <v>6993250.6399999997</v>
      </c>
      <c r="AE8" s="52">
        <v>258039515.85999998</v>
      </c>
      <c r="AF8" s="52">
        <f>AF7-AF37-AF53</f>
        <v>265032766.50000006</v>
      </c>
      <c r="AG8" s="51">
        <f t="shared" ref="AG8:AG63" si="7">AD8-AC8</f>
        <v>-14351716.909999996</v>
      </c>
      <c r="AH8" s="64">
        <f t="shared" si="3"/>
        <v>-107576043.49999994</v>
      </c>
      <c r="AI8" s="64">
        <f t="shared" si="4"/>
        <v>71.128958679211067</v>
      </c>
      <c r="AJ8" s="51">
        <f t="shared" ref="AJ8:AJ62" si="8">AF8-AA8</f>
        <v>-282731227.01999992</v>
      </c>
      <c r="AK8" s="51">
        <f>AF8/AA8%</f>
        <v>48.384481206379832</v>
      </c>
      <c r="AL8" s="51"/>
      <c r="AM8" s="51"/>
      <c r="AN8" s="64">
        <f t="shared" ref="AN8:AN63" si="9">AF8-AB8</f>
        <v>-34350725.399999976</v>
      </c>
      <c r="AO8" s="64">
        <f t="shared" ref="AO8:AO63" si="10">AF8/AB8*100</f>
        <v>88.526179188439087</v>
      </c>
      <c r="AP8" s="51">
        <f t="shared" ref="AP8:AP63" si="11">AF8-Y8</f>
        <v>61484129.481444806</v>
      </c>
      <c r="AQ8" s="51">
        <f>AF8/Y8%</f>
        <v>130.20611210275015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67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2">S10+S11+S12+S13+S14+S15+S16+S17+S20+S21</f>
        <v>323360088.5</v>
      </c>
      <c r="T9" s="70">
        <f t="shared" si="12"/>
        <v>339771027.17000008</v>
      </c>
      <c r="U9" s="70">
        <f t="shared" ref="U9:AA9" si="13">U10+U11+U12+U13+U14+U15+U16+U17+U20+U21</f>
        <v>492445948.29584169</v>
      </c>
      <c r="V9" s="70">
        <f t="shared" si="13"/>
        <v>121234988.74000001</v>
      </c>
      <c r="W9" s="44">
        <f>V9/S9%</f>
        <v>37.492254935475756</v>
      </c>
      <c r="X9" s="70">
        <f t="shared" si="13"/>
        <v>0</v>
      </c>
      <c r="Y9" s="70">
        <f>Y10+Y11+Y12+Y13+Y14+Y15+Y16+Y17+Y20+Y21</f>
        <v>178376613.35855526</v>
      </c>
      <c r="Z9" s="70">
        <f t="shared" si="13"/>
        <v>323434900</v>
      </c>
      <c r="AA9" s="70">
        <f t="shared" si="13"/>
        <v>496503723.51999998</v>
      </c>
      <c r="AB9" s="70">
        <f>AB10+AB11+AB12+AB13+AB14+AB15+AB16+AB17+AB20+AB21</f>
        <v>272241809</v>
      </c>
      <c r="AC9" s="70">
        <f t="shared" ref="AC9:AD9" si="14">AC10+AC11+AC12+AC13+AC14+AC15+AC16+AC17+AC20+AC21</f>
        <v>21246250.23</v>
      </c>
      <c r="AD9" s="70">
        <f t="shared" si="14"/>
        <v>6381248.5999999996</v>
      </c>
      <c r="AE9" s="70">
        <v>233237284.84</v>
      </c>
      <c r="AF9" s="70">
        <f>AF10+AF11+AF12+AF13+AF14+AF15+AF16+AF17+AF20+AF21</f>
        <v>239618533.44000006</v>
      </c>
      <c r="AG9" s="71">
        <f t="shared" si="7"/>
        <v>-14865001.630000001</v>
      </c>
      <c r="AH9" s="72"/>
      <c r="AI9" s="72"/>
      <c r="AJ9" s="71">
        <f t="shared" si="8"/>
        <v>-256885190.07999992</v>
      </c>
      <c r="AK9" s="71">
        <f>AF9/AA9%</f>
        <v>48.261175513691356</v>
      </c>
      <c r="AL9" s="73"/>
      <c r="AM9" s="73"/>
      <c r="AN9" s="72">
        <f t="shared" si="9"/>
        <v>-32623275.559999943</v>
      </c>
      <c r="AO9" s="72">
        <f t="shared" si="10"/>
        <v>88.016801798433562</v>
      </c>
      <c r="AP9" s="71">
        <f t="shared" si="11"/>
        <v>61241920.0814448</v>
      </c>
      <c r="AQ9" s="71">
        <f>AF9/Y9%</f>
        <v>134.33293127857644</v>
      </c>
      <c r="AR9" s="23"/>
      <c r="AS9" s="23"/>
      <c r="AT9" s="49"/>
    </row>
    <row r="10" spans="1:47" s="10" customFormat="1" ht="91.5" hidden="1" customHeight="1" x14ac:dyDescent="0.3">
      <c r="A10" s="9"/>
      <c r="B10" s="129" t="s">
        <v>26</v>
      </c>
      <c r="C10" s="129"/>
      <c r="D10" s="129"/>
      <c r="E10" s="129"/>
      <c r="F10" s="129"/>
      <c r="G10" s="129"/>
      <c r="H10" s="129"/>
      <c r="I10" s="129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75431909.709999993</v>
      </c>
      <c r="W10" s="12"/>
      <c r="X10" s="46"/>
      <c r="Y10" s="47">
        <f>V10/31.84%*53.08%</f>
        <v>125751437.41855524</v>
      </c>
      <c r="Z10" s="46">
        <v>188231000</v>
      </c>
      <c r="AA10" s="46">
        <v>342872523.51999998</v>
      </c>
      <c r="AB10" s="46">
        <v>190263254</v>
      </c>
      <c r="AC10" s="46">
        <v>17358746.309999999</v>
      </c>
      <c r="AD10" s="46">
        <v>4975207.5</v>
      </c>
      <c r="AE10" s="46">
        <v>161360694.82000002</v>
      </c>
      <c r="AF10" s="46">
        <f>AE10+AD10</f>
        <v>166335902.32000002</v>
      </c>
      <c r="AG10" s="46">
        <f t="shared" si="7"/>
        <v>-12383538.809999999</v>
      </c>
      <c r="AH10" s="44">
        <f t="shared" si="3"/>
        <v>-21895097.679999977</v>
      </c>
      <c r="AI10" s="44">
        <f t="shared" si="4"/>
        <v>88.3679640016788</v>
      </c>
      <c r="AJ10" s="46">
        <f t="shared" si="8"/>
        <v>-176536621.19999996</v>
      </c>
      <c r="AK10" s="44">
        <f t="shared" ref="AK10:AK63" si="15">AF10/AA10%</f>
        <v>48.512461894689423</v>
      </c>
      <c r="AL10" s="46" t="e">
        <f>AF10-#REF!</f>
        <v>#REF!</v>
      </c>
      <c r="AM10" s="46" t="e">
        <f>IF(#REF!=0,0,AF10/#REF!*100)</f>
        <v>#REF!</v>
      </c>
      <c r="AN10" s="44">
        <f t="shared" si="9"/>
        <v>-23927351.679999977</v>
      </c>
      <c r="AO10" s="44">
        <f t="shared" si="10"/>
        <v>87.42408154125232</v>
      </c>
      <c r="AP10" s="46">
        <f t="shared" si="11"/>
        <v>40584464.901444778</v>
      </c>
      <c r="AQ10" s="44">
        <f t="shared" ref="AQ10:AQ19" si="16">AF10/Y10%</f>
        <v>132.27355943961271</v>
      </c>
      <c r="AR10" s="46">
        <f t="shared" ref="AR10:AR20" si="17">AF10-M10</f>
        <v>107500452.2244568</v>
      </c>
      <c r="AS10" s="46">
        <f t="shared" ref="AS10:AS20" si="18">IF(M10=0,0,AF10/M10*100)</f>
        <v>282.71374154508243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23" t="s">
        <v>25</v>
      </c>
      <c r="C11" s="123"/>
      <c r="D11" s="123"/>
      <c r="E11" s="123"/>
      <c r="F11" s="123"/>
      <c r="G11" s="123"/>
      <c r="H11" s="123"/>
      <c r="I11" s="12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15586758.310000001</v>
      </c>
      <c r="W11" s="12"/>
      <c r="X11" s="12"/>
      <c r="Y11" s="12">
        <f t="shared" ref="Y11:Y16" si="19">V11</f>
        <v>15586758.310000001</v>
      </c>
      <c r="Z11" s="12">
        <v>28603900</v>
      </c>
      <c r="AA11" s="12">
        <v>32294200</v>
      </c>
      <c r="AB11" s="12">
        <v>19473520</v>
      </c>
      <c r="AC11" s="12">
        <v>2069199.86</v>
      </c>
      <c r="AD11" s="12">
        <v>766092.34</v>
      </c>
      <c r="AE11" s="12">
        <v>16150826.459999999</v>
      </c>
      <c r="AF11" s="12">
        <f t="shared" ref="AF11:AF62" si="20">AE11+AD11</f>
        <v>16916918.800000001</v>
      </c>
      <c r="AG11" s="12">
        <f t="shared" si="7"/>
        <v>-1303107.52</v>
      </c>
      <c r="AH11" s="44">
        <f t="shared" si="3"/>
        <v>-11686981.199999999</v>
      </c>
      <c r="AI11" s="44">
        <f t="shared" si="4"/>
        <v>59.142000915959017</v>
      </c>
      <c r="AJ11" s="12">
        <f t="shared" si="8"/>
        <v>-15377281.199999999</v>
      </c>
      <c r="AK11" s="44">
        <f t="shared" si="15"/>
        <v>52.383767983105329</v>
      </c>
      <c r="AL11" s="12" t="e">
        <f>AF11-#REF!</f>
        <v>#REF!</v>
      </c>
      <c r="AM11" s="12" t="e">
        <f>IF(#REF!=0,0,AF11/#REF!*100)</f>
        <v>#REF!</v>
      </c>
      <c r="AN11" s="44">
        <f t="shared" si="9"/>
        <v>-2556601.1999999993</v>
      </c>
      <c r="AO11" s="44">
        <f>AF11/AB11*100</f>
        <v>86.871396645290631</v>
      </c>
      <c r="AP11" s="12">
        <f t="shared" si="11"/>
        <v>1330160.4900000002</v>
      </c>
      <c r="AQ11" s="44">
        <f t="shared" si="16"/>
        <v>108.53391361785989</v>
      </c>
      <c r="AR11" s="12">
        <f t="shared" si="17"/>
        <v>9022993.6900000013</v>
      </c>
      <c r="AS11" s="12">
        <f t="shared" si="18"/>
        <v>214.30300597315903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1">J12</f>
        <v>0</v>
      </c>
      <c r="L12" s="12">
        <v>0</v>
      </c>
      <c r="M12" s="36">
        <f t="shared" ref="M12" si="22">L12</f>
        <v>0</v>
      </c>
      <c r="N12" s="12">
        <v>8810490.5399999991</v>
      </c>
      <c r="O12" s="12">
        <v>9529840.7599999998</v>
      </c>
      <c r="P12" s="12">
        <f t="shared" ref="P12:P15" si="23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6822096.9100000001</v>
      </c>
      <c r="W12" s="12"/>
      <c r="X12" s="12"/>
      <c r="Y12" s="35">
        <f>V12/15%*30%</f>
        <v>13644193.82</v>
      </c>
      <c r="Z12" s="12">
        <v>11972000</v>
      </c>
      <c r="AA12" s="12">
        <v>27969000</v>
      </c>
      <c r="AB12" s="12">
        <v>24577641</v>
      </c>
      <c r="AC12" s="12">
        <v>193654.39</v>
      </c>
      <c r="AD12" s="12">
        <v>259028.28</v>
      </c>
      <c r="AE12" s="12">
        <v>19783284.850000001</v>
      </c>
      <c r="AF12" s="12">
        <f t="shared" si="20"/>
        <v>20042313.130000003</v>
      </c>
      <c r="AG12" s="12">
        <f t="shared" si="7"/>
        <v>65373.889999999985</v>
      </c>
      <c r="AH12" s="44">
        <f t="shared" si="3"/>
        <v>8070313.1300000027</v>
      </c>
      <c r="AI12" s="44">
        <f t="shared" si="4"/>
        <v>167.40989918142336</v>
      </c>
      <c r="AJ12" s="12">
        <f t="shared" si="8"/>
        <v>-7926686.8699999973</v>
      </c>
      <c r="AK12" s="44">
        <f t="shared" si="15"/>
        <v>71.659026529371815</v>
      </c>
      <c r="AL12" s="12" t="e">
        <f>AF12-#REF!</f>
        <v>#REF!</v>
      </c>
      <c r="AM12" s="12" t="e">
        <f>IF(#REF!=0,0,AF12/#REF!*100)</f>
        <v>#REF!</v>
      </c>
      <c r="AN12" s="44">
        <f t="shared" si="9"/>
        <v>-4535327.8699999973</v>
      </c>
      <c r="AO12" s="44">
        <f t="shared" si="10"/>
        <v>81.546935810479141</v>
      </c>
      <c r="AP12" s="12">
        <f t="shared" si="11"/>
        <v>6398119.3100000024</v>
      </c>
      <c r="AQ12" s="44">
        <f t="shared" si="16"/>
        <v>146.89261523551124</v>
      </c>
      <c r="AR12" s="12">
        <f t="shared" si="17"/>
        <v>20042313.130000003</v>
      </c>
      <c r="AS12" s="12">
        <f t="shared" si="18"/>
        <v>0</v>
      </c>
      <c r="AT12" s="34">
        <f>AF12</f>
        <v>20042313.130000003</v>
      </c>
    </row>
    <row r="13" spans="1:47" s="10" customFormat="1" ht="70.5" hidden="1" customHeight="1" x14ac:dyDescent="0.3">
      <c r="A13" s="9"/>
      <c r="B13" s="123" t="s">
        <v>24</v>
      </c>
      <c r="C13" s="123"/>
      <c r="D13" s="123"/>
      <c r="E13" s="123"/>
      <c r="F13" s="123"/>
      <c r="G13" s="123"/>
      <c r="H13" s="123"/>
      <c r="I13" s="123"/>
      <c r="J13" s="12">
        <v>11880184.26</v>
      </c>
      <c r="K13" s="12">
        <f t="shared" si="21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3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4">T13</f>
        <v>-283271.29000000004</v>
      </c>
      <c r="V13" s="12">
        <v>-340153.32</v>
      </c>
      <c r="W13" s="12"/>
      <c r="X13" s="12"/>
      <c r="Y13" s="12">
        <f t="shared" si="19"/>
        <v>-340153.32</v>
      </c>
      <c r="Z13" s="12">
        <v>8000</v>
      </c>
      <c r="AA13" s="12">
        <v>0</v>
      </c>
      <c r="AB13" s="12">
        <v>0</v>
      </c>
      <c r="AC13" s="12">
        <v>0</v>
      </c>
      <c r="AD13" s="12">
        <v>0</v>
      </c>
      <c r="AE13" s="12">
        <v>5298.27</v>
      </c>
      <c r="AF13" s="12">
        <f t="shared" si="20"/>
        <v>5298.27</v>
      </c>
      <c r="AG13" s="12">
        <f t="shared" si="7"/>
        <v>0</v>
      </c>
      <c r="AH13" s="44">
        <f t="shared" si="3"/>
        <v>-2701.7299999999996</v>
      </c>
      <c r="AI13" s="44">
        <f t="shared" si="4"/>
        <v>66.228375</v>
      </c>
      <c r="AJ13" s="12">
        <f t="shared" si="8"/>
        <v>5298.27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9"/>
        <v>5298.27</v>
      </c>
      <c r="AO13" s="115">
        <v>0</v>
      </c>
      <c r="AP13" s="12">
        <f t="shared" si="11"/>
        <v>345451.59</v>
      </c>
      <c r="AQ13" s="115">
        <v>101.56</v>
      </c>
      <c r="AR13" s="12">
        <f t="shared" si="17"/>
        <v>-5409380.5900000008</v>
      </c>
      <c r="AS13" s="12">
        <f t="shared" si="18"/>
        <v>9.7850124393157448E-2</v>
      </c>
      <c r="AT13" s="34">
        <f>AF13</f>
        <v>5298.27</v>
      </c>
      <c r="AU13" s="86" t="s">
        <v>73</v>
      </c>
    </row>
    <row r="14" spans="1:47" s="10" customFormat="1" ht="42.75" hidden="1" customHeight="1" x14ac:dyDescent="0.3">
      <c r="A14" s="9"/>
      <c r="B14" s="123" t="s">
        <v>23</v>
      </c>
      <c r="C14" s="123"/>
      <c r="D14" s="123"/>
      <c r="E14" s="123"/>
      <c r="F14" s="123"/>
      <c r="G14" s="123"/>
      <c r="H14" s="123"/>
      <c r="I14" s="12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4119101.76</v>
      </c>
      <c r="W14" s="12"/>
      <c r="X14" s="12"/>
      <c r="Y14" s="12">
        <f t="shared" si="19"/>
        <v>4119101.76</v>
      </c>
      <c r="Z14" s="12">
        <v>5814000</v>
      </c>
      <c r="AA14" s="12">
        <v>7692000</v>
      </c>
      <c r="AB14" s="12">
        <v>7692000</v>
      </c>
      <c r="AC14" s="12">
        <v>2148.5</v>
      </c>
      <c r="AD14" s="12">
        <v>89726.43</v>
      </c>
      <c r="AE14" s="12">
        <v>10857183.290000003</v>
      </c>
      <c r="AF14" s="12">
        <f t="shared" si="20"/>
        <v>10946909.720000003</v>
      </c>
      <c r="AG14" s="12">
        <f t="shared" si="7"/>
        <v>87577.93</v>
      </c>
      <c r="AH14" s="44">
        <f t="shared" si="3"/>
        <v>5132909.7200000025</v>
      </c>
      <c r="AI14" s="44">
        <f t="shared" si="4"/>
        <v>188.28534090127283</v>
      </c>
      <c r="AJ14" s="12">
        <f t="shared" si="8"/>
        <v>3254909.7200000025</v>
      </c>
      <c r="AK14" s="44">
        <f t="shared" si="15"/>
        <v>142.31551898075926</v>
      </c>
      <c r="AL14" s="12" t="e">
        <f>AF14-#REF!</f>
        <v>#REF!</v>
      </c>
      <c r="AM14" s="12" t="e">
        <f>IF(#REF!=0,0,AF14/#REF!*100)</f>
        <v>#REF!</v>
      </c>
      <c r="AN14" s="44">
        <f t="shared" si="9"/>
        <v>3254909.7200000025</v>
      </c>
      <c r="AO14" s="44">
        <f t="shared" si="10"/>
        <v>142.31551898075926</v>
      </c>
      <c r="AP14" s="12">
        <f t="shared" si="11"/>
        <v>6827807.9600000028</v>
      </c>
      <c r="AQ14" s="44">
        <f t="shared" si="16"/>
        <v>265.75963299338355</v>
      </c>
      <c r="AR14" s="12">
        <f t="shared" si="17"/>
        <v>7379831.8600000031</v>
      </c>
      <c r="AS14" s="12">
        <f t="shared" si="18"/>
        <v>306.88732205021176</v>
      </c>
      <c r="AT14" s="34">
        <f>AF14</f>
        <v>10946909.720000003</v>
      </c>
      <c r="AU14" s="86"/>
    </row>
    <row r="15" spans="1:47" s="10" customFormat="1" ht="99" hidden="1" customHeight="1" x14ac:dyDescent="0.3">
      <c r="A15" s="9"/>
      <c r="B15" s="123" t="s">
        <v>22</v>
      </c>
      <c r="C15" s="123"/>
      <c r="D15" s="123"/>
      <c r="E15" s="123"/>
      <c r="F15" s="123"/>
      <c r="G15" s="123"/>
      <c r="H15" s="123"/>
      <c r="I15" s="123"/>
      <c r="J15" s="12">
        <v>199821.72</v>
      </c>
      <c r="K15" s="12">
        <f t="shared" ref="K15" si="25">J15</f>
        <v>199821.72</v>
      </c>
      <c r="L15" s="12">
        <v>141824.35999999999</v>
      </c>
      <c r="M15" s="12">
        <f t="shared" ref="M15" si="26">L15</f>
        <v>141824.35999999999</v>
      </c>
      <c r="N15" s="12">
        <v>4514274.29</v>
      </c>
      <c r="O15" s="12">
        <v>6011745.4100000001</v>
      </c>
      <c r="P15" s="12">
        <f t="shared" si="23"/>
        <v>6011745.4100000001</v>
      </c>
      <c r="Q15" s="12">
        <v>6011745.4100000001</v>
      </c>
      <c r="R15" s="12">
        <f t="shared" ref="R15" si="27">Q15</f>
        <v>6011745.4100000001</v>
      </c>
      <c r="S15" s="12">
        <v>2368000</v>
      </c>
      <c r="T15" s="12">
        <v>2659940.33</v>
      </c>
      <c r="U15" s="12">
        <f t="shared" si="24"/>
        <v>2659940.33</v>
      </c>
      <c r="V15" s="12">
        <v>3090723.33</v>
      </c>
      <c r="W15" s="12"/>
      <c r="X15" s="12"/>
      <c r="Y15" s="12">
        <f t="shared" si="19"/>
        <v>3090723.33</v>
      </c>
      <c r="Z15" s="12">
        <v>8168000</v>
      </c>
      <c r="AA15" s="12">
        <v>6694000</v>
      </c>
      <c r="AB15" s="12">
        <v>6694000</v>
      </c>
      <c r="AC15" s="12">
        <v>734979.53</v>
      </c>
      <c r="AD15" s="12">
        <v>6251.65</v>
      </c>
      <c r="AE15" s="12">
        <v>7749880.1699999999</v>
      </c>
      <c r="AF15" s="12">
        <f t="shared" si="20"/>
        <v>7756131.8200000003</v>
      </c>
      <c r="AG15" s="12">
        <f t="shared" si="7"/>
        <v>-728727.88</v>
      </c>
      <c r="AH15" s="44">
        <f t="shared" si="3"/>
        <v>-411868.1799999997</v>
      </c>
      <c r="AI15" s="44">
        <f t="shared" si="4"/>
        <v>94.957539422135156</v>
      </c>
      <c r="AJ15" s="12">
        <f t="shared" si="8"/>
        <v>1062131.8200000003</v>
      </c>
      <c r="AK15" s="44">
        <f t="shared" si="15"/>
        <v>115.86692291604422</v>
      </c>
      <c r="AL15" s="12" t="e">
        <f>AF15-#REF!</f>
        <v>#REF!</v>
      </c>
      <c r="AM15" s="12" t="e">
        <f>IF(#REF!=0,0,AF15/#REF!*100)</f>
        <v>#REF!</v>
      </c>
      <c r="AN15" s="44">
        <f t="shared" si="9"/>
        <v>1062131.8200000003</v>
      </c>
      <c r="AO15" s="44">
        <f t="shared" si="10"/>
        <v>115.86692291604422</v>
      </c>
      <c r="AP15" s="12">
        <f t="shared" si="11"/>
        <v>4665408.49</v>
      </c>
      <c r="AQ15" s="44">
        <f t="shared" si="16"/>
        <v>250.94875832836195</v>
      </c>
      <c r="AR15" s="12">
        <f t="shared" si="17"/>
        <v>7614307.46</v>
      </c>
      <c r="AS15" s="12">
        <f t="shared" si="18"/>
        <v>5468.8290643440951</v>
      </c>
      <c r="AT15" s="34">
        <f>AF15</f>
        <v>7756131.8200000003</v>
      </c>
      <c r="AU15" s="86"/>
    </row>
    <row r="16" spans="1:47" s="10" customFormat="1" ht="65.25" hidden="1" customHeight="1" x14ac:dyDescent="0.3">
      <c r="A16" s="9"/>
      <c r="B16" s="123" t="s">
        <v>21</v>
      </c>
      <c r="C16" s="123"/>
      <c r="D16" s="123"/>
      <c r="E16" s="123"/>
      <c r="F16" s="123"/>
      <c r="G16" s="123"/>
      <c r="H16" s="123"/>
      <c r="I16" s="12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322960.59000000003</v>
      </c>
      <c r="W16" s="12"/>
      <c r="X16" s="12"/>
      <c r="Y16" s="12">
        <f t="shared" si="19"/>
        <v>322960.59000000003</v>
      </c>
      <c r="Z16" s="12">
        <v>15443000</v>
      </c>
      <c r="AA16" s="12">
        <v>14460000</v>
      </c>
      <c r="AB16" s="12">
        <v>1595860</v>
      </c>
      <c r="AC16" s="12">
        <v>32858.54</v>
      </c>
      <c r="AD16" s="12">
        <v>30209.18</v>
      </c>
      <c r="AE16" s="12">
        <v>1638905.6000000006</v>
      </c>
      <c r="AF16" s="12">
        <f t="shared" si="20"/>
        <v>1669114.7800000005</v>
      </c>
      <c r="AG16" s="12">
        <f t="shared" si="7"/>
        <v>-2649.3600000000006</v>
      </c>
      <c r="AH16" s="44">
        <f t="shared" si="3"/>
        <v>-13773885.219999999</v>
      </c>
      <c r="AI16" s="44">
        <f t="shared" si="4"/>
        <v>10.808228841546335</v>
      </c>
      <c r="AJ16" s="12">
        <f t="shared" si="8"/>
        <v>-12790885.219999999</v>
      </c>
      <c r="AK16" s="44">
        <f t="shared" si="15"/>
        <v>11.542979114799451</v>
      </c>
      <c r="AL16" s="12" t="e">
        <f>AF16-#REF!</f>
        <v>#REF!</v>
      </c>
      <c r="AM16" s="12" t="e">
        <f>IF(#REF!=0,0,AF16/#REF!*100)</f>
        <v>#REF!</v>
      </c>
      <c r="AN16" s="44">
        <f t="shared" si="9"/>
        <v>73254.780000000494</v>
      </c>
      <c r="AO16" s="44">
        <f t="shared" si="10"/>
        <v>104.59030115423661</v>
      </c>
      <c r="AP16" s="12">
        <f t="shared" si="11"/>
        <v>1346154.1900000004</v>
      </c>
      <c r="AQ16" s="44">
        <f t="shared" si="16"/>
        <v>516.81685991470363</v>
      </c>
      <c r="AR16" s="12">
        <f t="shared" si="17"/>
        <v>508435.8900000006</v>
      </c>
      <c r="AS16" s="12">
        <f t="shared" si="18"/>
        <v>143.80504327083958</v>
      </c>
      <c r="AT16" s="34">
        <v>11117000</v>
      </c>
      <c r="AU16" s="86"/>
    </row>
    <row r="17" spans="1:47" s="10" customFormat="1" ht="24" hidden="1" customHeight="1" x14ac:dyDescent="0.3">
      <c r="A17" s="9"/>
      <c r="B17" s="123" t="s">
        <v>19</v>
      </c>
      <c r="C17" s="123"/>
      <c r="D17" s="123"/>
      <c r="E17" s="123"/>
      <c r="F17" s="123"/>
      <c r="G17" s="123"/>
      <c r="H17" s="123"/>
      <c r="I17" s="123"/>
      <c r="J17" s="12">
        <f t="shared" ref="J17:AF17" si="28">J18+J19</f>
        <v>59077329.089999996</v>
      </c>
      <c r="K17" s="12">
        <f t="shared" si="28"/>
        <v>59077329.089999996</v>
      </c>
      <c r="L17" s="12">
        <f t="shared" si="28"/>
        <v>13651268.75</v>
      </c>
      <c r="M17" s="12">
        <f t="shared" si="28"/>
        <v>13651268.75</v>
      </c>
      <c r="N17" s="12">
        <f t="shared" si="28"/>
        <v>57000020</v>
      </c>
      <c r="O17" s="12">
        <f t="shared" si="28"/>
        <v>59153838.839999996</v>
      </c>
      <c r="P17" s="12">
        <f t="shared" si="28"/>
        <v>59153838.839999996</v>
      </c>
      <c r="Q17" s="12">
        <v>59153838.839999996</v>
      </c>
      <c r="R17" s="12">
        <f t="shared" si="28"/>
        <v>59153838.839999996</v>
      </c>
      <c r="S17" s="12">
        <f t="shared" si="28"/>
        <v>54189000</v>
      </c>
      <c r="T17" s="12">
        <f t="shared" si="28"/>
        <v>55922478.88000001</v>
      </c>
      <c r="U17" s="12">
        <f t="shared" ref="U17:X17" si="29">U18+U19</f>
        <v>55922478.88000001</v>
      </c>
      <c r="V17" s="12">
        <f t="shared" si="29"/>
        <v>12715169.4</v>
      </c>
      <c r="W17" s="12"/>
      <c r="X17" s="12">
        <f t="shared" si="29"/>
        <v>0</v>
      </c>
      <c r="Y17" s="12">
        <f>Y18+Y19</f>
        <v>12715169.4</v>
      </c>
      <c r="Z17" s="12">
        <f t="shared" ref="Z17:AD17" si="30">Z18+Z19</f>
        <v>57489000</v>
      </c>
      <c r="AA17" s="12">
        <f t="shared" si="30"/>
        <v>56779000</v>
      </c>
      <c r="AB17" s="12">
        <f t="shared" si="30"/>
        <v>17753314</v>
      </c>
      <c r="AC17" s="12">
        <f t="shared" si="30"/>
        <v>609260.14</v>
      </c>
      <c r="AD17" s="12">
        <f t="shared" si="30"/>
        <v>57907.34</v>
      </c>
      <c r="AE17" s="12">
        <v>11848020.899999999</v>
      </c>
      <c r="AF17" s="12">
        <f t="shared" si="28"/>
        <v>11905928.239999998</v>
      </c>
      <c r="AG17" s="12">
        <f t="shared" si="7"/>
        <v>-551352.80000000005</v>
      </c>
      <c r="AH17" s="44">
        <f t="shared" si="3"/>
        <v>-45583071.760000005</v>
      </c>
      <c r="AI17" s="44">
        <f t="shared" si="4"/>
        <v>20.709924055036613</v>
      </c>
      <c r="AJ17" s="12">
        <f t="shared" si="8"/>
        <v>-44873071.760000005</v>
      </c>
      <c r="AK17" s="44">
        <f t="shared" si="15"/>
        <v>20.968893851600061</v>
      </c>
      <c r="AL17" s="12" t="e">
        <f>AF17-#REF!</f>
        <v>#REF!</v>
      </c>
      <c r="AM17" s="12" t="e">
        <f>IF(#REF!=0,0,AF17/#REF!*100)</f>
        <v>#REF!</v>
      </c>
      <c r="AN17" s="44">
        <f t="shared" si="9"/>
        <v>-5847385.7600000016</v>
      </c>
      <c r="AO17" s="44">
        <f t="shared" si="10"/>
        <v>67.06313108639884</v>
      </c>
      <c r="AP17" s="12">
        <f t="shared" si="11"/>
        <v>-809241.16000000201</v>
      </c>
      <c r="AQ17" s="44">
        <f t="shared" si="16"/>
        <v>93.635624233209185</v>
      </c>
      <c r="AR17" s="12">
        <f t="shared" si="17"/>
        <v>-1745340.5100000016</v>
      </c>
      <c r="AS17" s="12">
        <f t="shared" si="18"/>
        <v>87.214811004288507</v>
      </c>
      <c r="AT17" s="34">
        <f>AT18+AT19</f>
        <v>11905928.239999998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12457806.83-1299</f>
        <v>12456507.83</v>
      </c>
      <c r="W18" s="53"/>
      <c r="X18" s="53"/>
      <c r="Y18" s="13">
        <f>V18</f>
        <v>12456507.83</v>
      </c>
      <c r="Z18" s="66">
        <v>23363753.050000001</v>
      </c>
      <c r="AA18" s="66">
        <v>22995495</v>
      </c>
      <c r="AB18" s="16">
        <v>14690394</v>
      </c>
      <c r="AC18" s="13">
        <v>533058.74</v>
      </c>
      <c r="AD18" s="13">
        <v>-4340.87</v>
      </c>
      <c r="AE18" s="13">
        <v>9102983.4999999981</v>
      </c>
      <c r="AF18" s="13">
        <f t="shared" si="20"/>
        <v>9098642.629999999</v>
      </c>
      <c r="AG18" s="13">
        <f t="shared" si="7"/>
        <v>-537399.61</v>
      </c>
      <c r="AH18" s="44">
        <f t="shared" si="3"/>
        <v>-14265110.420000002</v>
      </c>
      <c r="AI18" s="44">
        <f t="shared" si="4"/>
        <v>38.943412090207822</v>
      </c>
      <c r="AJ18" s="13">
        <f t="shared" si="8"/>
        <v>-13896852.370000001</v>
      </c>
      <c r="AK18" s="44">
        <f t="shared" si="15"/>
        <v>39.567065766577315</v>
      </c>
      <c r="AL18" s="13" t="e">
        <f>AF18-#REF!</f>
        <v>#REF!</v>
      </c>
      <c r="AM18" s="13" t="e">
        <f>IF(#REF!=0,0,AF18/#REF!*100)</f>
        <v>#REF!</v>
      </c>
      <c r="AN18" s="44">
        <f t="shared" si="9"/>
        <v>-5591751.370000001</v>
      </c>
      <c r="AO18" s="44">
        <f t="shared" si="10"/>
        <v>61.936001376137348</v>
      </c>
      <c r="AP18" s="13">
        <f t="shared" si="11"/>
        <v>-3357865.2000000011</v>
      </c>
      <c r="AQ18" s="44">
        <f t="shared" si="16"/>
        <v>73.043285920689698</v>
      </c>
      <c r="AR18" s="13">
        <f t="shared" si="17"/>
        <v>-986973.88000000082</v>
      </c>
      <c r="AS18" s="13">
        <f t="shared" si="18"/>
        <v>90.214045130296157</v>
      </c>
      <c r="AT18" s="31">
        <f>AF18</f>
        <v>9098642.629999999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258661.57</v>
      </c>
      <c r="W19" s="53"/>
      <c r="X19" s="53"/>
      <c r="Y19" s="13">
        <f>V19</f>
        <v>258661.57</v>
      </c>
      <c r="Z19" s="66">
        <v>34125246.950000003</v>
      </c>
      <c r="AA19" s="66">
        <v>33783505</v>
      </c>
      <c r="AB19" s="16">
        <v>3062920</v>
      </c>
      <c r="AC19" s="13">
        <v>76201.399999999994</v>
      </c>
      <c r="AD19" s="13">
        <v>62248.21</v>
      </c>
      <c r="AE19" s="13">
        <v>2745037.3999999994</v>
      </c>
      <c r="AF19" s="13">
        <f t="shared" si="20"/>
        <v>2807285.6099999994</v>
      </c>
      <c r="AG19" s="13">
        <f t="shared" si="7"/>
        <v>-13953.189999999995</v>
      </c>
      <c r="AH19" s="44">
        <f t="shared" si="3"/>
        <v>-31317961.340000004</v>
      </c>
      <c r="AI19" s="44">
        <f t="shared" si="4"/>
        <v>8.2264184464751526</v>
      </c>
      <c r="AJ19" s="13">
        <f t="shared" si="8"/>
        <v>-30976219.390000001</v>
      </c>
      <c r="AK19" s="44">
        <f t="shared" si="15"/>
        <v>8.3096339766995744</v>
      </c>
      <c r="AL19" s="13" t="e">
        <f>AF19-#REF!</f>
        <v>#REF!</v>
      </c>
      <c r="AM19" s="13" t="e">
        <f>IF(#REF!=0,0,AF19/#REF!*100)</f>
        <v>#REF!</v>
      </c>
      <c r="AN19" s="44">
        <f t="shared" si="9"/>
        <v>-255634.3900000006</v>
      </c>
      <c r="AO19" s="44">
        <f t="shared" si="10"/>
        <v>91.653899220351803</v>
      </c>
      <c r="AP19" s="13">
        <f t="shared" si="11"/>
        <v>2548624.0399999996</v>
      </c>
      <c r="AQ19" s="44">
        <f t="shared" si="16"/>
        <v>1085.3122131749217</v>
      </c>
      <c r="AR19" s="13">
        <f t="shared" si="17"/>
        <v>-758366.63000000082</v>
      </c>
      <c r="AS19" s="13">
        <f t="shared" si="18"/>
        <v>78.731334999736234</v>
      </c>
      <c r="AT19" s="31">
        <f>AF19</f>
        <v>2807285.6099999994</v>
      </c>
      <c r="AU19" s="86"/>
    </row>
    <row r="20" spans="1:47" s="10" customFormat="1" ht="30.75" hidden="1" customHeight="1" x14ac:dyDescent="0.3">
      <c r="A20" s="9"/>
      <c r="B20" s="123" t="s">
        <v>18</v>
      </c>
      <c r="C20" s="123"/>
      <c r="D20" s="123"/>
      <c r="E20" s="123"/>
      <c r="F20" s="123"/>
      <c r="G20" s="123"/>
      <c r="H20" s="123"/>
      <c r="I20" s="12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3486422.05</v>
      </c>
      <c r="W20" s="12"/>
      <c r="X20" s="12"/>
      <c r="Y20" s="12">
        <f>V20</f>
        <v>3486422.05</v>
      </c>
      <c r="Z20" s="12">
        <v>7706000</v>
      </c>
      <c r="AA20" s="12">
        <v>7743000</v>
      </c>
      <c r="AB20" s="12">
        <v>4192220</v>
      </c>
      <c r="AC20" s="12">
        <v>245402.96</v>
      </c>
      <c r="AD20" s="12">
        <v>196825.88</v>
      </c>
      <c r="AE20" s="12">
        <v>3843190.48</v>
      </c>
      <c r="AF20" s="12">
        <f t="shared" si="20"/>
        <v>4040016.36</v>
      </c>
      <c r="AG20" s="12">
        <f t="shared" si="7"/>
        <v>-48577.079999999987</v>
      </c>
      <c r="AH20" s="44">
        <f t="shared" si="3"/>
        <v>-3665983.64</v>
      </c>
      <c r="AI20" s="44">
        <f t="shared" si="4"/>
        <v>52.42689281079678</v>
      </c>
      <c r="AJ20" s="12">
        <f t="shared" si="8"/>
        <v>-3702983.64</v>
      </c>
      <c r="AK20" s="44">
        <f t="shared" si="15"/>
        <v>52.176370399070123</v>
      </c>
      <c r="AL20" s="12" t="e">
        <f>AF20-#REF!</f>
        <v>#REF!</v>
      </c>
      <c r="AM20" s="12" t="e">
        <f>IF(#REF!=0,0,AF20/#REF!*100)</f>
        <v>#REF!</v>
      </c>
      <c r="AN20" s="44">
        <f t="shared" si="9"/>
        <v>-152203.64000000013</v>
      </c>
      <c r="AO20" s="44">
        <f t="shared" si="10"/>
        <v>96.369378515440502</v>
      </c>
      <c r="AP20" s="12">
        <f t="shared" si="11"/>
        <v>553594.31000000006</v>
      </c>
      <c r="AQ20" s="44">
        <f t="shared" ref="AQ20:AQ63" si="31">AF20/Y20%</f>
        <v>115.87857987531946</v>
      </c>
      <c r="AR20" s="12">
        <f t="shared" si="17"/>
        <v>965996.89999999991</v>
      </c>
      <c r="AS20" s="12">
        <f t="shared" si="18"/>
        <v>131.42455383154925</v>
      </c>
      <c r="AT20" s="34">
        <f>AF20</f>
        <v>4040016.36</v>
      </c>
      <c r="AU20" s="86"/>
    </row>
    <row r="21" spans="1:47" s="10" customFormat="1" ht="62.25" hidden="1" customHeight="1" x14ac:dyDescent="0.3">
      <c r="A21" s="9"/>
      <c r="B21" s="124" t="s">
        <v>57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5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f t="shared" si="20"/>
        <v>0</v>
      </c>
      <c r="AG21" s="12">
        <v>0</v>
      </c>
      <c r="AH21" s="44">
        <f t="shared" si="3"/>
        <v>0</v>
      </c>
      <c r="AI21" s="44">
        <v>0</v>
      </c>
      <c r="AJ21" s="12">
        <f t="shared" si="8"/>
        <v>0</v>
      </c>
      <c r="AK21" s="44">
        <v>0</v>
      </c>
      <c r="AL21" s="12"/>
      <c r="AM21" s="12"/>
      <c r="AN21" s="44">
        <f t="shared" si="9"/>
        <v>0</v>
      </c>
      <c r="AO21" s="44">
        <v>0</v>
      </c>
      <c r="AP21" s="12">
        <f t="shared" si="11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68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2">S23+S36+S37+S45+S48+S50</f>
        <v>86476358.480000004</v>
      </c>
      <c r="T22" s="71">
        <f t="shared" si="32"/>
        <v>93832615.929999977</v>
      </c>
      <c r="U22" s="71">
        <f>U23+U36+U37+U45+U48+U50</f>
        <v>91729067.069999978</v>
      </c>
      <c r="V22" s="71">
        <f>V23+V36+V37+V45+V48+V50</f>
        <v>49051243.639999986</v>
      </c>
      <c r="W22" s="71"/>
      <c r="X22" s="71">
        <f t="shared" ref="X22:AD22" si="33">X23+X36+X37+X45+X48+X50</f>
        <v>0</v>
      </c>
      <c r="Y22" s="71">
        <f t="shared" si="33"/>
        <v>49051243.639999986</v>
      </c>
      <c r="Z22" s="71">
        <f t="shared" si="33"/>
        <v>76980199.650000006</v>
      </c>
      <c r="AA22" s="71">
        <f t="shared" si="33"/>
        <v>85647440.349999994</v>
      </c>
      <c r="AB22" s="71">
        <f t="shared" si="33"/>
        <v>49284854.130000003</v>
      </c>
      <c r="AC22" s="71">
        <f t="shared" si="33"/>
        <v>638231.78999999992</v>
      </c>
      <c r="AD22" s="71">
        <f t="shared" si="33"/>
        <v>1463131.12</v>
      </c>
      <c r="AE22" s="71">
        <v>47319087.43</v>
      </c>
      <c r="AF22" s="71">
        <f>AF23+AF36+AF37+AF45+AF48+AF50</f>
        <v>48782218.549999997</v>
      </c>
      <c r="AG22" s="71">
        <f t="shared" ref="AG22" si="34">AD22-AC22</f>
        <v>824899.33000000019</v>
      </c>
      <c r="AH22" s="72">
        <f t="shared" si="3"/>
        <v>-28197981.100000009</v>
      </c>
      <c r="AI22" s="72">
        <f t="shared" ref="AI22" si="35">AF22/Z22*100</f>
        <v>63.36982597056695</v>
      </c>
      <c r="AJ22" s="71">
        <f t="shared" si="8"/>
        <v>-36865221.799999997</v>
      </c>
      <c r="AK22" s="72">
        <f t="shared" ref="AK22" si="36">AF22/AA22%</f>
        <v>56.957006946909885</v>
      </c>
      <c r="AL22" s="71" t="e">
        <f>AF22-#REF!</f>
        <v>#REF!</v>
      </c>
      <c r="AM22" s="71" t="e">
        <f>IF(#REF!=0,0,AF22/#REF!*100)</f>
        <v>#REF!</v>
      </c>
      <c r="AN22" s="72">
        <f t="shared" si="9"/>
        <v>-502635.58000000566</v>
      </c>
      <c r="AO22" s="72">
        <f t="shared" ref="AO22" si="37">AF22/AB22*100</f>
        <v>98.98014189374652</v>
      </c>
      <c r="AP22" s="71">
        <f t="shared" si="11"/>
        <v>-269025.08999998868</v>
      </c>
      <c r="AQ22" s="72">
        <f t="shared" ref="AQ22" si="38">AF22/Y22%</f>
        <v>99.45154277438013</v>
      </c>
      <c r="AR22" s="12"/>
      <c r="AS22" s="12"/>
      <c r="AT22" s="34"/>
    </row>
    <row r="23" spans="1:47" s="10" customFormat="1" ht="83.25" hidden="1" customHeight="1" x14ac:dyDescent="0.3">
      <c r="A23" s="9"/>
      <c r="B23" s="123" t="s">
        <v>17</v>
      </c>
      <c r="C23" s="123"/>
      <c r="D23" s="123"/>
      <c r="E23" s="123"/>
      <c r="F23" s="123"/>
      <c r="G23" s="123"/>
      <c r="H23" s="123"/>
      <c r="I23" s="123"/>
      <c r="J23" s="60">
        <f t="shared" ref="J23:AF23" si="39">J24+J27+J29+J31</f>
        <v>39449619.330000006</v>
      </c>
      <c r="K23" s="60">
        <f t="shared" si="39"/>
        <v>39449619.330000006</v>
      </c>
      <c r="L23" s="60">
        <f t="shared" si="39"/>
        <v>10238465.989999998</v>
      </c>
      <c r="M23" s="60">
        <f t="shared" si="39"/>
        <v>10238465.989999998</v>
      </c>
      <c r="N23" s="12">
        <f t="shared" si="39"/>
        <v>42188190.339999996</v>
      </c>
      <c r="O23" s="12">
        <f t="shared" si="39"/>
        <v>49536681.379999995</v>
      </c>
      <c r="P23" s="12">
        <f t="shared" si="39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0">S24+S27+S29+S31</f>
        <v>42777461.119999997</v>
      </c>
      <c r="T23" s="12">
        <f t="shared" si="40"/>
        <v>47630236.639999993</v>
      </c>
      <c r="U23" s="12">
        <f>U24+U27+U29+U31</f>
        <v>46969616.779999994</v>
      </c>
      <c r="V23" s="12">
        <f t="shared" ref="V23:X23" si="41">V24+V27+V29+V31</f>
        <v>23105010.829999998</v>
      </c>
      <c r="W23" s="12"/>
      <c r="X23" s="12">
        <f t="shared" si="41"/>
        <v>0</v>
      </c>
      <c r="Y23" s="12">
        <f>Y24+Y27+Y29+Y31</f>
        <v>23105010.829999998</v>
      </c>
      <c r="Z23" s="12">
        <f t="shared" ref="Z23:AD23" si="42">Z24+Z27+Z29+Z31</f>
        <v>47029000</v>
      </c>
      <c r="AA23" s="12">
        <f t="shared" si="42"/>
        <v>49534190</v>
      </c>
      <c r="AB23" s="12">
        <f t="shared" si="42"/>
        <v>25846651.979999997</v>
      </c>
      <c r="AC23" s="12">
        <f t="shared" si="42"/>
        <v>188210.93</v>
      </c>
      <c r="AD23" s="12">
        <f t="shared" si="42"/>
        <v>555234.85</v>
      </c>
      <c r="AE23" s="12">
        <v>21354799.040000003</v>
      </c>
      <c r="AF23" s="12">
        <f t="shared" si="39"/>
        <v>21910033.890000001</v>
      </c>
      <c r="AG23" s="12">
        <f t="shared" si="7"/>
        <v>367023.92</v>
      </c>
      <c r="AH23" s="44">
        <f t="shared" si="3"/>
        <v>-25118966.109999999</v>
      </c>
      <c r="AI23" s="44">
        <f t="shared" si="4"/>
        <v>46.588347381402968</v>
      </c>
      <c r="AJ23" s="12">
        <f t="shared" si="8"/>
        <v>-27624156.109999999</v>
      </c>
      <c r="AK23" s="44">
        <f t="shared" si="15"/>
        <v>44.232143273161427</v>
      </c>
      <c r="AL23" s="12" t="e">
        <f>AF23-#REF!</f>
        <v>#REF!</v>
      </c>
      <c r="AM23" s="12" t="e">
        <f>IF(#REF!=0,0,AF23/#REF!*100)</f>
        <v>#REF!</v>
      </c>
      <c r="AN23" s="44">
        <f t="shared" si="9"/>
        <v>-3936618.0899999961</v>
      </c>
      <c r="AO23" s="44">
        <f t="shared" si="10"/>
        <v>84.769330693019228</v>
      </c>
      <c r="AP23" s="12">
        <f t="shared" si="11"/>
        <v>-1194976.9399999976</v>
      </c>
      <c r="AQ23" s="44">
        <f t="shared" si="31"/>
        <v>94.828061545643521</v>
      </c>
      <c r="AR23" s="12">
        <f>AF23-M23</f>
        <v>11671567.900000002</v>
      </c>
      <c r="AS23" s="12">
        <f>IF(M23=0,0,AF23/M23*100)</f>
        <v>213.99723270458412</v>
      </c>
      <c r="AT23" s="34">
        <f>AT24+AT27+AT29+AT31</f>
        <v>21311251.170000002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69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3">U25+U26</f>
        <v>44043460.589999996</v>
      </c>
      <c r="V24" s="12">
        <f>V25+V26</f>
        <v>21794961.719999999</v>
      </c>
      <c r="W24" s="13"/>
      <c r="X24" s="13">
        <f t="shared" si="43"/>
        <v>0</v>
      </c>
      <c r="Y24" s="12">
        <f t="shared" si="43"/>
        <v>21794961.719999999</v>
      </c>
      <c r="Z24" s="12">
        <f t="shared" si="43"/>
        <v>46880510</v>
      </c>
      <c r="AA24" s="12">
        <f>AA25+AA26</f>
        <v>47982367.740000002</v>
      </c>
      <c r="AB24" s="12">
        <f>AB25+AB26</f>
        <v>24536300</v>
      </c>
      <c r="AC24" s="12">
        <f t="shared" ref="AC24:AD24" si="44">AC25+AC26</f>
        <v>134154.32999999999</v>
      </c>
      <c r="AD24" s="12">
        <f t="shared" si="44"/>
        <v>491998.74</v>
      </c>
      <c r="AE24" s="12">
        <v>19997954.410000004</v>
      </c>
      <c r="AF24" s="12">
        <f t="shared" ref="AF24" si="45">AF25+AF26</f>
        <v>20489953.150000002</v>
      </c>
      <c r="AG24" s="12">
        <f>AD24-AC24</f>
        <v>357844.41000000003</v>
      </c>
      <c r="AH24" s="44">
        <f t="shared" si="3"/>
        <v>-26390556.849999998</v>
      </c>
      <c r="AI24" s="44">
        <f t="shared" si="4"/>
        <v>43.706762469094308</v>
      </c>
      <c r="AJ24" s="12">
        <f t="shared" si="8"/>
        <v>-27492414.59</v>
      </c>
      <c r="AK24" s="44">
        <f t="shared" si="15"/>
        <v>42.703088895129213</v>
      </c>
      <c r="AL24" s="12" t="e">
        <f>AF24-#REF!</f>
        <v>#REF!</v>
      </c>
      <c r="AM24" s="12" t="e">
        <f>IF(#REF!=0,0,AF24/#REF!*100)</f>
        <v>#REF!</v>
      </c>
      <c r="AN24" s="44">
        <f t="shared" si="9"/>
        <v>-4046346.8499999978</v>
      </c>
      <c r="AO24" s="44">
        <f t="shared" si="10"/>
        <v>83.508732571740651</v>
      </c>
      <c r="AP24" s="12">
        <f t="shared" si="11"/>
        <v>-1305008.5699999966</v>
      </c>
      <c r="AQ24" s="44">
        <f t="shared" si="31"/>
        <v>94.012338324951202</v>
      </c>
      <c r="AR24" s="12">
        <f>AF24-M24</f>
        <v>10621808.540000003</v>
      </c>
      <c r="AS24" s="12">
        <f>IF(M24=0,0,AF24/M24*100)</f>
        <v>207.63734176773485</v>
      </c>
      <c r="AT24" s="31">
        <f>AF24</f>
        <v>20489953.150000002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70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15489348.17</v>
      </c>
      <c r="W25" s="13"/>
      <c r="X25" s="13"/>
      <c r="Y25" s="13">
        <f>V25</f>
        <v>15489348.17</v>
      </c>
      <c r="Z25" s="13">
        <v>34696660</v>
      </c>
      <c r="AA25" s="13">
        <v>36508280</v>
      </c>
      <c r="AB25" s="13">
        <v>16080300</v>
      </c>
      <c r="AC25" s="13">
        <v>133667.22</v>
      </c>
      <c r="AD25" s="13">
        <v>259440.18</v>
      </c>
      <c r="AE25" s="13">
        <v>13256237.950000003</v>
      </c>
      <c r="AF25" s="13">
        <f t="shared" si="20"/>
        <v>13515678.130000003</v>
      </c>
      <c r="AG25" s="13">
        <f>AD25-AC25</f>
        <v>125772.95999999999</v>
      </c>
      <c r="AH25" s="44">
        <f t="shared" si="3"/>
        <v>-21180981.869999997</v>
      </c>
      <c r="AI25" s="44">
        <f t="shared" si="4"/>
        <v>38.953830512792884</v>
      </c>
      <c r="AJ25" s="13">
        <f t="shared" si="8"/>
        <v>-22992601.869999997</v>
      </c>
      <c r="AK25" s="42">
        <f t="shared" si="15"/>
        <v>37.02085699463246</v>
      </c>
      <c r="AL25" s="13"/>
      <c r="AM25" s="13"/>
      <c r="AN25" s="42">
        <f t="shared" si="9"/>
        <v>-2564621.8699999973</v>
      </c>
      <c r="AO25" s="42">
        <f t="shared" si="10"/>
        <v>84.051156570462012</v>
      </c>
      <c r="AP25" s="13">
        <f t="shared" si="11"/>
        <v>-1973670.0399999972</v>
      </c>
      <c r="AQ25" s="42">
        <f t="shared" si="31"/>
        <v>87.257888335013149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82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3843055.3+2462558.25</f>
        <v>6305613.5499999998</v>
      </c>
      <c r="W26" s="16"/>
      <c r="X26" s="16"/>
      <c r="Y26" s="13">
        <f>V26</f>
        <v>6305613.5499999998</v>
      </c>
      <c r="Z26" s="13">
        <v>12183850</v>
      </c>
      <c r="AA26" s="13">
        <f>6966987.74+4507100</f>
        <v>11474087.74</v>
      </c>
      <c r="AB26" s="13">
        <f>5009600+3446400</f>
        <v>8456000</v>
      </c>
      <c r="AC26" s="13">
        <v>487.11</v>
      </c>
      <c r="AD26" s="13">
        <v>232558.56</v>
      </c>
      <c r="AE26" s="13">
        <v>6741716.459999999</v>
      </c>
      <c r="AF26" s="13">
        <f t="shared" si="20"/>
        <v>6974275.0199999986</v>
      </c>
      <c r="AG26" s="13">
        <f>AD26-AC26</f>
        <v>232071.45</v>
      </c>
      <c r="AH26" s="44">
        <f t="shared" si="3"/>
        <v>-5209574.9800000014</v>
      </c>
      <c r="AI26" s="44">
        <f t="shared" si="4"/>
        <v>57.241963911243154</v>
      </c>
      <c r="AJ26" s="12">
        <f t="shared" si="8"/>
        <v>-4499812.7200000016</v>
      </c>
      <c r="AK26" s="42">
        <f t="shared" si="15"/>
        <v>60.782828038580071</v>
      </c>
      <c r="AL26" s="13"/>
      <c r="AM26" s="13"/>
      <c r="AN26" s="42">
        <f t="shared" si="9"/>
        <v>-1481724.9800000014</v>
      </c>
      <c r="AO26" s="42">
        <f t="shared" si="10"/>
        <v>82.477235335856179</v>
      </c>
      <c r="AP26" s="13">
        <f t="shared" si="11"/>
        <v>668661.46999999881</v>
      </c>
      <c r="AQ26" s="42">
        <f t="shared" si="31"/>
        <v>110.60422534140233</v>
      </c>
      <c r="AR26" s="12"/>
      <c r="AS26" s="12"/>
      <c r="AT26" s="31"/>
      <c r="AU26" s="107" t="s">
        <v>94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71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46">S28</f>
        <v>989651.62</v>
      </c>
      <c r="T27" s="12">
        <f t="shared" si="46"/>
        <v>1733380.9700000002</v>
      </c>
      <c r="U27" s="13">
        <f t="shared" ref="U27:AD27" si="47">U28</f>
        <v>1733380.9700000002</v>
      </c>
      <c r="V27" s="12">
        <f t="shared" si="47"/>
        <v>796329.74</v>
      </c>
      <c r="W27" s="13"/>
      <c r="X27" s="13"/>
      <c r="Y27" s="12">
        <f t="shared" si="47"/>
        <v>796329.74</v>
      </c>
      <c r="Z27" s="12">
        <f t="shared" si="47"/>
        <v>100490</v>
      </c>
      <c r="AA27" s="12">
        <f t="shared" si="47"/>
        <v>767832.26</v>
      </c>
      <c r="AB27" s="12">
        <f t="shared" si="47"/>
        <v>664978.83000000007</v>
      </c>
      <c r="AC27" s="12">
        <f t="shared" si="47"/>
        <v>15884</v>
      </c>
      <c r="AD27" s="12">
        <f t="shared" si="47"/>
        <v>39284.17</v>
      </c>
      <c r="AE27" s="12">
        <v>751706.45000000007</v>
      </c>
      <c r="AF27" s="12">
        <f t="shared" ref="AF27" si="48">AF28</f>
        <v>790990.62000000011</v>
      </c>
      <c r="AG27" s="12">
        <f t="shared" si="7"/>
        <v>23400.17</v>
      </c>
      <c r="AH27" s="44">
        <f t="shared" si="3"/>
        <v>690500.62000000011</v>
      </c>
      <c r="AI27" s="44">
        <f t="shared" si="4"/>
        <v>787.13366504129772</v>
      </c>
      <c r="AJ27" s="12">
        <f t="shared" si="8"/>
        <v>23158.360000000102</v>
      </c>
      <c r="AK27" s="44">
        <f t="shared" si="15"/>
        <v>103.01607020262473</v>
      </c>
      <c r="AL27" s="12" t="e">
        <f>AF27-#REF!</f>
        <v>#REF!</v>
      </c>
      <c r="AM27" s="12" t="e">
        <f>IF(#REF!=0,0,AF27/#REF!*100)</f>
        <v>#REF!</v>
      </c>
      <c r="AN27" s="44">
        <f t="shared" si="9"/>
        <v>126011.79000000004</v>
      </c>
      <c r="AO27" s="44">
        <f t="shared" si="10"/>
        <v>118.94974461066678</v>
      </c>
      <c r="AP27" s="12">
        <f t="shared" si="11"/>
        <v>-5339.1199999998789</v>
      </c>
      <c r="AQ27" s="44">
        <f t="shared" si="31"/>
        <v>99.329534019412634</v>
      </c>
      <c r="AR27" s="12">
        <f>AF27-M27</f>
        <v>457264.78000000009</v>
      </c>
      <c r="AS27" s="12">
        <f>IF(M27=0,0,AF27/M27*100)</f>
        <v>237.01809245577147</v>
      </c>
      <c r="AT27" s="31">
        <f>AF27</f>
        <v>790990.62000000011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83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178242.99+618086.75</f>
        <v>796329.74</v>
      </c>
      <c r="W28" s="16"/>
      <c r="X28" s="16"/>
      <c r="Y28" s="16">
        <f>V28</f>
        <v>796329.74</v>
      </c>
      <c r="Z28" s="16">
        <v>100490</v>
      </c>
      <c r="AA28" s="16">
        <f>164952.06+602880.2</f>
        <v>767832.26</v>
      </c>
      <c r="AB28" s="16">
        <f>151732.06+513246.77</f>
        <v>664978.83000000007</v>
      </c>
      <c r="AC28" s="13">
        <v>15884</v>
      </c>
      <c r="AD28" s="13">
        <v>39284.17</v>
      </c>
      <c r="AE28" s="13">
        <v>751706.45000000007</v>
      </c>
      <c r="AF28" s="13">
        <f t="shared" si="20"/>
        <v>790990.62000000011</v>
      </c>
      <c r="AG28" s="13">
        <f>AD28-AC28</f>
        <v>23400.17</v>
      </c>
      <c r="AH28" s="44">
        <f t="shared" si="3"/>
        <v>690500.62000000011</v>
      </c>
      <c r="AI28" s="44">
        <f t="shared" si="4"/>
        <v>787.13366504129772</v>
      </c>
      <c r="AJ28" s="13">
        <f t="shared" si="8"/>
        <v>23158.360000000102</v>
      </c>
      <c r="AK28" s="42">
        <f t="shared" si="15"/>
        <v>103.01607020262473</v>
      </c>
      <c r="AL28" s="16"/>
      <c r="AM28" s="16"/>
      <c r="AN28" s="42">
        <f t="shared" si="9"/>
        <v>126011.79000000004</v>
      </c>
      <c r="AO28" s="42">
        <f t="shared" si="10"/>
        <v>118.94974461066678</v>
      </c>
      <c r="AP28" s="13">
        <f t="shared" si="11"/>
        <v>-5339.1199999998789</v>
      </c>
      <c r="AQ28" s="42">
        <f t="shared" si="31"/>
        <v>99.329534019412634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26" t="s">
        <v>16</v>
      </c>
      <c r="C29" s="126"/>
      <c r="D29" s="126"/>
      <c r="E29" s="126"/>
      <c r="F29" s="126"/>
      <c r="G29" s="126"/>
      <c r="H29" s="126"/>
      <c r="I29" s="126"/>
      <c r="J29" s="12">
        <f t="shared" ref="J29:AD29" si="49">J30</f>
        <v>13500</v>
      </c>
      <c r="K29" s="12">
        <f t="shared" si="49"/>
        <v>13500</v>
      </c>
      <c r="L29" s="12">
        <f t="shared" si="49"/>
        <v>13500</v>
      </c>
      <c r="M29" s="12">
        <f t="shared" si="49"/>
        <v>13500</v>
      </c>
      <c r="N29" s="12">
        <f t="shared" si="49"/>
        <v>145882.54999999999</v>
      </c>
      <c r="O29" s="12">
        <f t="shared" si="49"/>
        <v>145882.54999999999</v>
      </c>
      <c r="P29" s="12">
        <f t="shared" si="49"/>
        <v>145882.54999999999</v>
      </c>
      <c r="Q29" s="12">
        <v>145882.54999999999</v>
      </c>
      <c r="R29" s="12">
        <f t="shared" si="49"/>
        <v>145882.54999999999</v>
      </c>
      <c r="S29" s="12">
        <f t="shared" si="49"/>
        <v>65907.5</v>
      </c>
      <c r="T29" s="12">
        <f t="shared" si="49"/>
        <v>65907.5</v>
      </c>
      <c r="U29" s="12">
        <f>U30</f>
        <v>65907.5</v>
      </c>
      <c r="V29" s="12">
        <f t="shared" ref="V29:X29" si="50">V30</f>
        <v>65907.5</v>
      </c>
      <c r="W29" s="12"/>
      <c r="X29" s="12">
        <f t="shared" si="50"/>
        <v>0</v>
      </c>
      <c r="Y29" s="12">
        <f>Y30</f>
        <v>65907.5</v>
      </c>
      <c r="Z29" s="12">
        <f t="shared" si="49"/>
        <v>0</v>
      </c>
      <c r="AA29" s="12">
        <f t="shared" si="49"/>
        <v>60000</v>
      </c>
      <c r="AB29" s="12">
        <f t="shared" si="49"/>
        <v>60000</v>
      </c>
      <c r="AC29" s="12">
        <f t="shared" si="49"/>
        <v>0</v>
      </c>
      <c r="AD29" s="12">
        <f t="shared" si="49"/>
        <v>0</v>
      </c>
      <c r="AE29" s="12">
        <v>30307.4</v>
      </c>
      <c r="AF29" s="12">
        <f>AF30</f>
        <v>30307.4</v>
      </c>
      <c r="AG29" s="12">
        <f t="shared" si="7"/>
        <v>0</v>
      </c>
      <c r="AH29" s="44">
        <f t="shared" si="3"/>
        <v>30307.4</v>
      </c>
      <c r="AI29" s="44">
        <v>0</v>
      </c>
      <c r="AJ29" s="12">
        <f t="shared" si="8"/>
        <v>-29692.6</v>
      </c>
      <c r="AK29" s="44">
        <f t="shared" si="15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9"/>
        <v>-29692.6</v>
      </c>
      <c r="AO29" s="44">
        <f t="shared" si="10"/>
        <v>50.512333333333338</v>
      </c>
      <c r="AP29" s="12">
        <f t="shared" si="11"/>
        <v>-35600.1</v>
      </c>
      <c r="AQ29" s="44">
        <f t="shared" si="31"/>
        <v>45.984751356067214</v>
      </c>
      <c r="AR29" s="12">
        <f t="shared" ref="AR29:AR38" si="51">AF29-M29</f>
        <v>16807.400000000001</v>
      </c>
      <c r="AS29" s="12">
        <f t="shared" ref="AS29:AS38" si="52">IF(M29=0,0,AF29/M29*100)</f>
        <v>224.49925925925928</v>
      </c>
      <c r="AT29" s="34">
        <f t="shared" ref="AT29" si="53">AT30</f>
        <v>30307.4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3">
        <v>60000</v>
      </c>
      <c r="AC30" s="13">
        <v>0</v>
      </c>
      <c r="AD30" s="13">
        <v>0</v>
      </c>
      <c r="AE30" s="13">
        <v>30307.4</v>
      </c>
      <c r="AF30" s="13">
        <f t="shared" si="20"/>
        <v>30307.4</v>
      </c>
      <c r="AG30" s="13">
        <f t="shared" si="7"/>
        <v>0</v>
      </c>
      <c r="AH30" s="44">
        <f t="shared" si="3"/>
        <v>30307.4</v>
      </c>
      <c r="AI30" s="44">
        <v>0</v>
      </c>
      <c r="AJ30" s="13">
        <f t="shared" si="8"/>
        <v>-29692.6</v>
      </c>
      <c r="AK30" s="42">
        <f t="shared" si="15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9"/>
        <v>-29692.6</v>
      </c>
      <c r="AO30" s="42">
        <f t="shared" si="10"/>
        <v>50.512333333333338</v>
      </c>
      <c r="AP30" s="13">
        <f t="shared" si="11"/>
        <v>-35600.1</v>
      </c>
      <c r="AQ30" s="42">
        <f t="shared" si="31"/>
        <v>45.984751356067214</v>
      </c>
      <c r="AR30" s="12">
        <f t="shared" si="51"/>
        <v>16807.400000000001</v>
      </c>
      <c r="AS30" s="12">
        <f t="shared" si="52"/>
        <v>224.49925925925928</v>
      </c>
      <c r="AT30" s="31">
        <f>AF30</f>
        <v>30307.4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75</v>
      </c>
      <c r="J31" s="12">
        <f t="shared" ref="J31:R31" si="54">J35</f>
        <v>59624.2</v>
      </c>
      <c r="K31" s="12">
        <f t="shared" si="54"/>
        <v>59624.2</v>
      </c>
      <c r="L31" s="12">
        <f t="shared" si="54"/>
        <v>23095.54</v>
      </c>
      <c r="M31" s="12">
        <f t="shared" si="54"/>
        <v>23095.54</v>
      </c>
      <c r="N31" s="12">
        <f t="shared" si="54"/>
        <v>33317.79</v>
      </c>
      <c r="O31" s="12">
        <f t="shared" si="54"/>
        <v>67233.87</v>
      </c>
      <c r="P31" s="12">
        <f t="shared" si="54"/>
        <v>67233.87</v>
      </c>
      <c r="Q31" s="12">
        <v>67233.87</v>
      </c>
      <c r="R31" s="12">
        <f t="shared" si="54"/>
        <v>67233.87</v>
      </c>
      <c r="S31" s="12">
        <f t="shared" ref="S31:T31" si="55">S32+S33+S34+S35</f>
        <v>1027310</v>
      </c>
      <c r="T31" s="12">
        <f t="shared" si="55"/>
        <v>1126867.72</v>
      </c>
      <c r="U31" s="12">
        <f>U32+U33+U34+U35</f>
        <v>1126867.72</v>
      </c>
      <c r="V31" s="12">
        <f t="shared" ref="V31:Y31" si="56">V32+V33+V34+V35</f>
        <v>447811.87</v>
      </c>
      <c r="W31" s="12">
        <f t="shared" si="56"/>
        <v>0</v>
      </c>
      <c r="X31" s="12">
        <f t="shared" si="56"/>
        <v>0</v>
      </c>
      <c r="Y31" s="12">
        <f t="shared" si="56"/>
        <v>447811.87</v>
      </c>
      <c r="Z31" s="12">
        <f>Z32+Z33+Z34+Z35</f>
        <v>48000</v>
      </c>
      <c r="AA31" s="12">
        <f t="shared" ref="AA31" si="57">AA32+AA33+AA34+AA35</f>
        <v>723990</v>
      </c>
      <c r="AB31" s="12">
        <f t="shared" ref="AB31:AD31" si="58">AB32+AB33+AB34+AB35</f>
        <v>585373.15</v>
      </c>
      <c r="AC31" s="12">
        <f t="shared" si="58"/>
        <v>38172.6</v>
      </c>
      <c r="AD31" s="12">
        <f t="shared" si="58"/>
        <v>23951.94</v>
      </c>
      <c r="AE31" s="12">
        <v>574830.78</v>
      </c>
      <c r="AF31" s="12">
        <f t="shared" ref="AF31" si="59">AF32+AF33+AF34+AF35</f>
        <v>598782.72000000009</v>
      </c>
      <c r="AG31" s="12">
        <f t="shared" si="7"/>
        <v>-14220.66</v>
      </c>
      <c r="AH31" s="44">
        <f t="shared" si="3"/>
        <v>550782.72000000009</v>
      </c>
      <c r="AI31" s="44">
        <v>0</v>
      </c>
      <c r="AJ31" s="12">
        <f t="shared" si="8"/>
        <v>-125207.27999999991</v>
      </c>
      <c r="AK31" s="44">
        <f t="shared" si="15"/>
        <v>82.705937927319454</v>
      </c>
      <c r="AL31" s="12" t="e">
        <f>AF31-#REF!</f>
        <v>#REF!</v>
      </c>
      <c r="AM31" s="12" t="e">
        <f>IF(#REF!=0,0,AF31/#REF!*100)</f>
        <v>#REF!</v>
      </c>
      <c r="AN31" s="44">
        <f t="shared" si="9"/>
        <v>13409.570000000065</v>
      </c>
      <c r="AO31" s="44">
        <f t="shared" si="10"/>
        <v>102.29077298813587</v>
      </c>
      <c r="AP31" s="12">
        <f t="shared" si="11"/>
        <v>150970.85000000009</v>
      </c>
      <c r="AQ31" s="44">
        <f t="shared" si="31"/>
        <v>133.71300765207499</v>
      </c>
      <c r="AR31" s="12">
        <f t="shared" si="51"/>
        <v>575687.18000000005</v>
      </c>
      <c r="AS31" s="12">
        <f t="shared" si="52"/>
        <v>2592.6335560891848</v>
      </c>
      <c r="AT31" s="34">
        <f t="shared" ref="AT31" si="60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84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367081.04</v>
      </c>
      <c r="W32" s="13"/>
      <c r="X32" s="13"/>
      <c r="Y32" s="13">
        <f>V32</f>
        <v>367081.04</v>
      </c>
      <c r="Z32" s="13"/>
      <c r="AA32" s="13">
        <v>649240</v>
      </c>
      <c r="AB32" s="13">
        <v>492969.03</v>
      </c>
      <c r="AC32" s="113">
        <v>35011.599999999999</v>
      </c>
      <c r="AD32" s="113">
        <v>23679.67</v>
      </c>
      <c r="AE32" s="13">
        <v>478342.43000000005</v>
      </c>
      <c r="AF32" s="13">
        <f t="shared" si="20"/>
        <v>502022.10000000003</v>
      </c>
      <c r="AG32" s="13">
        <f t="shared" si="7"/>
        <v>-11331.93</v>
      </c>
      <c r="AH32" s="44"/>
      <c r="AI32" s="44"/>
      <c r="AJ32" s="13">
        <f t="shared" si="8"/>
        <v>-147217.89999999997</v>
      </c>
      <c r="AK32" s="42">
        <f t="shared" si="15"/>
        <v>77.324579508348236</v>
      </c>
      <c r="AL32" s="12"/>
      <c r="AM32" s="12"/>
      <c r="AN32" s="42">
        <f t="shared" si="9"/>
        <v>9053.070000000007</v>
      </c>
      <c r="AO32" s="42">
        <f t="shared" si="10"/>
        <v>101.83643787927205</v>
      </c>
      <c r="AP32" s="13">
        <f t="shared" si="11"/>
        <v>134941.06000000006</v>
      </c>
      <c r="AQ32" s="42">
        <f t="shared" si="31"/>
        <v>136.76056382536132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85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14465.55</v>
      </c>
      <c r="W33" s="13"/>
      <c r="X33" s="13"/>
      <c r="Y33" s="13">
        <f t="shared" ref="Y33:Y35" si="61">V33</f>
        <v>14465.55</v>
      </c>
      <c r="Z33" s="13"/>
      <c r="AA33" s="13">
        <v>74750</v>
      </c>
      <c r="AB33" s="13">
        <v>61000</v>
      </c>
      <c r="AC33" s="113">
        <v>3161</v>
      </c>
      <c r="AD33" s="113">
        <v>272.27</v>
      </c>
      <c r="AE33" s="13">
        <v>71251.350000000006</v>
      </c>
      <c r="AF33" s="13">
        <f t="shared" si="20"/>
        <v>71523.62000000001</v>
      </c>
      <c r="AG33" s="13">
        <f t="shared" si="7"/>
        <v>-2888.73</v>
      </c>
      <c r="AH33" s="44"/>
      <c r="AI33" s="44"/>
      <c r="AJ33" s="13">
        <f t="shared" si="8"/>
        <v>-3226.3799999999901</v>
      </c>
      <c r="AK33" s="42">
        <f t="shared" si="15"/>
        <v>95.683772575250856</v>
      </c>
      <c r="AL33" s="12"/>
      <c r="AM33" s="12"/>
      <c r="AN33" s="42">
        <f t="shared" si="9"/>
        <v>10523.62000000001</v>
      </c>
      <c r="AO33" s="42">
        <f t="shared" si="10"/>
        <v>117.25183606557378</v>
      </c>
      <c r="AP33" s="13">
        <f t="shared" si="11"/>
        <v>57058.070000000007</v>
      </c>
      <c r="AQ33" s="42">
        <f t="shared" si="31"/>
        <v>494.44106860783046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86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1"/>
        <v>21702.84</v>
      </c>
      <c r="Z34" s="13"/>
      <c r="AA34" s="13">
        <v>0</v>
      </c>
      <c r="AB34" s="13">
        <v>31404.12</v>
      </c>
      <c r="AC34" s="113">
        <v>0</v>
      </c>
      <c r="AD34" s="113">
        <v>0</v>
      </c>
      <c r="AE34" s="13">
        <v>25237</v>
      </c>
      <c r="AF34" s="13">
        <f t="shared" si="20"/>
        <v>25237</v>
      </c>
      <c r="AG34" s="13">
        <f t="shared" si="7"/>
        <v>0</v>
      </c>
      <c r="AH34" s="44"/>
      <c r="AI34" s="44"/>
      <c r="AJ34" s="13">
        <f t="shared" si="8"/>
        <v>25237</v>
      </c>
      <c r="AK34" s="116">
        <v>0</v>
      </c>
      <c r="AL34" s="12"/>
      <c r="AM34" s="12"/>
      <c r="AN34" s="42">
        <f t="shared" si="9"/>
        <v>-6167.119999999999</v>
      </c>
      <c r="AO34" s="42">
        <f t="shared" si="10"/>
        <v>80.36206714278255</v>
      </c>
      <c r="AP34" s="13">
        <f t="shared" si="11"/>
        <v>3534.16</v>
      </c>
      <c r="AQ34" s="42">
        <f t="shared" si="31"/>
        <v>116.28432039309141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87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44562.44</v>
      </c>
      <c r="W35" s="13"/>
      <c r="X35" s="13"/>
      <c r="Y35" s="13">
        <f t="shared" si="61"/>
        <v>44562.44</v>
      </c>
      <c r="Z35" s="13">
        <v>48000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f t="shared" si="20"/>
        <v>0</v>
      </c>
      <c r="AG35" s="13">
        <f t="shared" si="7"/>
        <v>0</v>
      </c>
      <c r="AH35" s="44">
        <f t="shared" si="3"/>
        <v>-48000</v>
      </c>
      <c r="AI35" s="44">
        <v>0</v>
      </c>
      <c r="AJ35" s="13">
        <f t="shared" si="8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9"/>
        <v>0</v>
      </c>
      <c r="AO35" s="116">
        <v>0</v>
      </c>
      <c r="AP35" s="13">
        <f t="shared" si="11"/>
        <v>-44562.44</v>
      </c>
      <c r="AQ35" s="42">
        <f t="shared" si="31"/>
        <v>0</v>
      </c>
      <c r="AR35" s="12">
        <f t="shared" si="51"/>
        <v>-23095.54</v>
      </c>
      <c r="AS35" s="12">
        <f t="shared" si="52"/>
        <v>0</v>
      </c>
      <c r="AT35" s="31">
        <f>AF35</f>
        <v>0</v>
      </c>
    </row>
    <row r="36" spans="1:47" s="10" customFormat="1" ht="40.5" hidden="1" customHeight="1" x14ac:dyDescent="0.3">
      <c r="A36" s="9"/>
      <c r="B36" s="123" t="s">
        <v>14</v>
      </c>
      <c r="C36" s="123"/>
      <c r="D36" s="123"/>
      <c r="E36" s="123"/>
      <c r="F36" s="123"/>
      <c r="G36" s="123"/>
      <c r="H36" s="123"/>
      <c r="I36" s="12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364924.65</v>
      </c>
      <c r="W36" s="12"/>
      <c r="X36" s="12"/>
      <c r="Y36" s="12">
        <f>V36</f>
        <v>364924.65</v>
      </c>
      <c r="Z36" s="12">
        <v>763440</v>
      </c>
      <c r="AA36" s="12">
        <v>447000</v>
      </c>
      <c r="AB36" s="12">
        <v>447000</v>
      </c>
      <c r="AC36" s="12">
        <v>4501.6400000000003</v>
      </c>
      <c r="AD36" s="12">
        <v>36761.919999999998</v>
      </c>
      <c r="AE36" s="12">
        <v>982131.24999999988</v>
      </c>
      <c r="AF36" s="12">
        <f t="shared" si="20"/>
        <v>1018893.1699999999</v>
      </c>
      <c r="AG36" s="12">
        <f t="shared" si="7"/>
        <v>32260.28</v>
      </c>
      <c r="AH36" s="44">
        <f t="shared" si="3"/>
        <v>255453.16999999993</v>
      </c>
      <c r="AI36" s="44">
        <v>0</v>
      </c>
      <c r="AJ36" s="12">
        <f t="shared" si="8"/>
        <v>571893.16999999993</v>
      </c>
      <c r="AK36" s="44">
        <f t="shared" si="15"/>
        <v>227.94030648769572</v>
      </c>
      <c r="AL36" s="12" t="e">
        <f>AF36-#REF!</f>
        <v>#REF!</v>
      </c>
      <c r="AM36" s="12" t="e">
        <f>IF(#REF!=0,0,AF36/#REF!*100)</f>
        <v>#REF!</v>
      </c>
      <c r="AN36" s="44">
        <f t="shared" si="9"/>
        <v>571893.16999999993</v>
      </c>
      <c r="AO36" s="44">
        <f t="shared" si="10"/>
        <v>227.94030648769575</v>
      </c>
      <c r="AP36" s="12">
        <f t="shared" si="11"/>
        <v>653968.5199999999</v>
      </c>
      <c r="AQ36" s="44">
        <f t="shared" si="31"/>
        <v>279.20645261973942</v>
      </c>
      <c r="AR36" s="12">
        <f t="shared" si="51"/>
        <v>1076667.53</v>
      </c>
      <c r="AS36" s="12">
        <f t="shared" si="52"/>
        <v>-1763.5732702188307</v>
      </c>
      <c r="AT36" s="34">
        <v>745000</v>
      </c>
    </row>
    <row r="37" spans="1:47" s="10" customFormat="1" ht="57.75" hidden="1" customHeight="1" x14ac:dyDescent="0.3">
      <c r="A37" s="9"/>
      <c r="B37" s="123" t="s">
        <v>13</v>
      </c>
      <c r="C37" s="123"/>
      <c r="D37" s="123"/>
      <c r="E37" s="123"/>
      <c r="F37" s="123"/>
      <c r="G37" s="123"/>
      <c r="H37" s="123"/>
      <c r="I37" s="123"/>
      <c r="J37" s="12">
        <f t="shared" ref="J37:N37" si="62">J38+J44</f>
        <v>26875602.490000002</v>
      </c>
      <c r="K37" s="12">
        <f t="shared" si="62"/>
        <v>26875602.490000002</v>
      </c>
      <c r="L37" s="12">
        <f t="shared" si="62"/>
        <v>10496131.460000001</v>
      </c>
      <c r="M37" s="12">
        <f t="shared" si="62"/>
        <v>10496131.460000001</v>
      </c>
      <c r="N37" s="12">
        <f t="shared" si="62"/>
        <v>29133952.98</v>
      </c>
      <c r="O37" s="12">
        <f>O38+O44</f>
        <v>30359839.810000002</v>
      </c>
      <c r="P37" s="12">
        <f t="shared" ref="P37" si="63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4">U38+U44</f>
        <v>34239492.269999996</v>
      </c>
      <c r="V37" s="12">
        <f t="shared" si="64"/>
        <v>19088621.529999997</v>
      </c>
      <c r="W37" s="12"/>
      <c r="X37" s="12">
        <f t="shared" si="64"/>
        <v>0</v>
      </c>
      <c r="Y37" s="12">
        <f t="shared" si="64"/>
        <v>19088621.529999997</v>
      </c>
      <c r="Z37" s="12">
        <f>Z38+Z44</f>
        <v>25090600</v>
      </c>
      <c r="AA37" s="12">
        <f>AA38+AA44</f>
        <v>29480458</v>
      </c>
      <c r="AB37" s="12">
        <f>AB38+AB44</f>
        <v>18535340.52</v>
      </c>
      <c r="AC37" s="12">
        <f t="shared" ref="AC37:AD37" si="65">AC38+AC44</f>
        <v>347727.44</v>
      </c>
      <c r="AD37" s="12">
        <f t="shared" si="65"/>
        <v>732275.51</v>
      </c>
      <c r="AE37" s="12">
        <v>19064356.169999998</v>
      </c>
      <c r="AF37" s="12">
        <f>AF38+AF44</f>
        <v>19796631.679999996</v>
      </c>
      <c r="AG37" s="12">
        <f t="shared" si="7"/>
        <v>384548.07</v>
      </c>
      <c r="AH37" s="44">
        <f t="shared" si="3"/>
        <v>-5293968.320000004</v>
      </c>
      <c r="AI37" s="44">
        <v>0</v>
      </c>
      <c r="AJ37" s="12">
        <f t="shared" si="8"/>
        <v>-9683826.320000004</v>
      </c>
      <c r="AK37" s="44">
        <f t="shared" si="15"/>
        <v>67.151710058235849</v>
      </c>
      <c r="AL37" s="12" t="e">
        <f>AF37-#REF!</f>
        <v>#REF!</v>
      </c>
      <c r="AM37" s="12" t="e">
        <f>IF(#REF!=0,0,AF37/#REF!*100)</f>
        <v>#REF!</v>
      </c>
      <c r="AN37" s="44">
        <f t="shared" si="9"/>
        <v>1261291.1599999964</v>
      </c>
      <c r="AO37" s="44">
        <f t="shared" si="10"/>
        <v>106.80479087308399</v>
      </c>
      <c r="AP37" s="12">
        <f t="shared" si="11"/>
        <v>708010.14999999851</v>
      </c>
      <c r="AQ37" s="44">
        <f t="shared" si="31"/>
        <v>103.70906903302199</v>
      </c>
      <c r="AR37" s="12">
        <f t="shared" si="51"/>
        <v>9300500.2199999951</v>
      </c>
      <c r="AS37" s="12">
        <f t="shared" si="52"/>
        <v>188.60883893693148</v>
      </c>
      <c r="AT37" s="34">
        <f t="shared" ref="AT37" si="66">AT38+AT44</f>
        <v>19796631.679999996</v>
      </c>
    </row>
    <row r="38" spans="1:47" s="5" customFormat="1" ht="39" hidden="1" customHeight="1" x14ac:dyDescent="0.3">
      <c r="A38" s="4"/>
      <c r="B38" s="122" t="s">
        <v>59</v>
      </c>
      <c r="C38" s="122"/>
      <c r="D38" s="122"/>
      <c r="E38" s="122"/>
      <c r="F38" s="122"/>
      <c r="G38" s="122"/>
      <c r="H38" s="122"/>
      <c r="I38" s="122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67">S39+S40+S43+S41+S42</f>
        <v>34618925.310000002</v>
      </c>
      <c r="T38" s="13">
        <f t="shared" si="67"/>
        <v>35367638.399999999</v>
      </c>
      <c r="U38" s="13">
        <f>U39+U40+U43</f>
        <v>33924709.399999999</v>
      </c>
      <c r="V38" s="13">
        <f t="shared" ref="V38:AD38" si="68">V39+V40+V43+V41+V42</f>
        <v>18933147.919999998</v>
      </c>
      <c r="W38" s="13"/>
      <c r="X38" s="13">
        <f t="shared" si="68"/>
        <v>0</v>
      </c>
      <c r="Y38" s="13">
        <f t="shared" si="68"/>
        <v>18933147.919999998</v>
      </c>
      <c r="Z38" s="13">
        <f t="shared" si="68"/>
        <v>25090600</v>
      </c>
      <c r="AA38" s="13">
        <f t="shared" si="68"/>
        <v>29480458</v>
      </c>
      <c r="AB38" s="13">
        <f t="shared" si="68"/>
        <v>18535340.52</v>
      </c>
      <c r="AC38" s="13">
        <f t="shared" si="68"/>
        <v>347727.44</v>
      </c>
      <c r="AD38" s="13">
        <f t="shared" si="68"/>
        <v>731021.63</v>
      </c>
      <c r="AE38" s="13">
        <v>19043062.549999997</v>
      </c>
      <c r="AF38" s="13">
        <f>AF39+AF40+AF43+AF41+AF42</f>
        <v>19774084.179999996</v>
      </c>
      <c r="AG38" s="13">
        <f t="shared" si="7"/>
        <v>383294.19</v>
      </c>
      <c r="AH38" s="44">
        <f t="shared" si="3"/>
        <v>-5316515.820000004</v>
      </c>
      <c r="AI38" s="44">
        <v>0</v>
      </c>
      <c r="AJ38" s="12">
        <f t="shared" si="8"/>
        <v>-9706373.820000004</v>
      </c>
      <c r="AK38" s="42">
        <f t="shared" si="15"/>
        <v>67.07522718948259</v>
      </c>
      <c r="AL38" s="13" t="e">
        <f>AF38-#REF!</f>
        <v>#REF!</v>
      </c>
      <c r="AM38" s="13" t="e">
        <f>IF(#REF!=0,0,AF38/#REF!*100)</f>
        <v>#REF!</v>
      </c>
      <c r="AN38" s="42">
        <f t="shared" si="9"/>
        <v>1238743.6599999964</v>
      </c>
      <c r="AO38" s="42">
        <f t="shared" si="10"/>
        <v>106.68314487485875</v>
      </c>
      <c r="AP38" s="13">
        <f t="shared" si="11"/>
        <v>840936.25999999791</v>
      </c>
      <c r="AQ38" s="42">
        <f t="shared" si="31"/>
        <v>104.44160825000304</v>
      </c>
      <c r="AR38" s="12">
        <f t="shared" si="51"/>
        <v>9902400.1999999955</v>
      </c>
      <c r="AS38" s="12">
        <f t="shared" si="52"/>
        <v>200.31115481474311</v>
      </c>
      <c r="AT38" s="31">
        <f>AF38</f>
        <v>19774084.179999996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88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308217.18</v>
      </c>
      <c r="W39" s="31"/>
      <c r="X39" s="31"/>
      <c r="Y39" s="31">
        <f>V39</f>
        <v>308217.18</v>
      </c>
      <c r="Z39" s="31">
        <v>360000</v>
      </c>
      <c r="AA39" s="31">
        <v>380458</v>
      </c>
      <c r="AB39" s="31">
        <v>245000</v>
      </c>
      <c r="AC39" s="31">
        <v>3545</v>
      </c>
      <c r="AD39" s="31">
        <v>2770</v>
      </c>
      <c r="AE39" s="31">
        <v>276023.21999999997</v>
      </c>
      <c r="AF39" s="31">
        <f t="shared" si="20"/>
        <v>278793.21999999997</v>
      </c>
      <c r="AG39" s="31">
        <f t="shared" si="7"/>
        <v>-775</v>
      </c>
      <c r="AH39" s="103">
        <f t="shared" si="3"/>
        <v>-81206.780000000028</v>
      </c>
      <c r="AI39" s="103">
        <f>AF39/Z39*100</f>
        <v>77.442561111111104</v>
      </c>
      <c r="AJ39" s="31">
        <f t="shared" si="8"/>
        <v>-101664.78000000003</v>
      </c>
      <c r="AK39" s="103">
        <f t="shared" si="15"/>
        <v>73.278317186128291</v>
      </c>
      <c r="AL39" s="31"/>
      <c r="AM39" s="31"/>
      <c r="AN39" s="103">
        <f t="shared" si="9"/>
        <v>33793.219999999972</v>
      </c>
      <c r="AO39" s="103">
        <f t="shared" si="10"/>
        <v>113.79315102040815</v>
      </c>
      <c r="AP39" s="31">
        <f t="shared" si="11"/>
        <v>-29423.960000000021</v>
      </c>
      <c r="AQ39" s="117">
        <f t="shared" si="31"/>
        <v>90.45349775765257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89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69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0">T40</f>
        <v>33218079.799999997</v>
      </c>
      <c r="V40" s="31">
        <v>17935536.739999998</v>
      </c>
      <c r="W40" s="31"/>
      <c r="X40" s="31"/>
      <c r="Y40" s="31">
        <f>V40</f>
        <v>17935536.739999998</v>
      </c>
      <c r="Z40" s="31">
        <v>22830600</v>
      </c>
      <c r="AA40" s="31">
        <v>27500000</v>
      </c>
      <c r="AB40" s="31">
        <v>17271040</v>
      </c>
      <c r="AC40" s="31">
        <v>342532.44</v>
      </c>
      <c r="AD40" s="31">
        <v>725501.63</v>
      </c>
      <c r="AE40" s="31">
        <v>17757990.329999998</v>
      </c>
      <c r="AF40" s="31">
        <f t="shared" si="20"/>
        <v>18483491.959999997</v>
      </c>
      <c r="AG40" s="31">
        <f t="shared" si="7"/>
        <v>382969.19</v>
      </c>
      <c r="AH40" s="103">
        <f t="shared" si="3"/>
        <v>-4347108.0400000028</v>
      </c>
      <c r="AI40" s="103">
        <f>AF40/Z40*100</f>
        <v>80.959291302024468</v>
      </c>
      <c r="AJ40" s="31">
        <f t="shared" si="8"/>
        <v>-9016508.0400000028</v>
      </c>
      <c r="AK40" s="103">
        <f t="shared" si="15"/>
        <v>67.212698036363619</v>
      </c>
      <c r="AL40" s="31"/>
      <c r="AM40" s="31"/>
      <c r="AN40" s="103">
        <f t="shared" si="9"/>
        <v>1212451.9599999972</v>
      </c>
      <c r="AO40" s="103">
        <f t="shared" si="10"/>
        <v>107.0201444730601</v>
      </c>
      <c r="AP40" s="31">
        <f t="shared" si="11"/>
        <v>547955.21999999881</v>
      </c>
      <c r="AQ40" s="103">
        <f t="shared" si="31"/>
        <v>103.0551370050607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90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658346</v>
      </c>
      <c r="W41" s="31"/>
      <c r="X41" s="31"/>
      <c r="Y41" s="31">
        <f t="shared" ref="Y41:Y42" si="71">V41</f>
        <v>658346</v>
      </c>
      <c r="Z41" s="31">
        <v>1400000</v>
      </c>
      <c r="AA41" s="31">
        <v>1400000</v>
      </c>
      <c r="AB41" s="31">
        <v>889300.52</v>
      </c>
      <c r="AC41" s="31">
        <v>0</v>
      </c>
      <c r="AD41" s="31">
        <v>350</v>
      </c>
      <c r="AE41" s="31">
        <v>741148</v>
      </c>
      <c r="AF41" s="31">
        <f t="shared" si="20"/>
        <v>741498</v>
      </c>
      <c r="AG41" s="31">
        <f t="shared" si="7"/>
        <v>350</v>
      </c>
      <c r="AH41" s="103">
        <f t="shared" si="3"/>
        <v>-658502</v>
      </c>
      <c r="AI41" s="103">
        <f t="shared" ref="AI41:AI42" si="72">AF41/Z41*100</f>
        <v>52.964142857142861</v>
      </c>
      <c r="AJ41" s="31">
        <f t="shared" si="8"/>
        <v>-658502</v>
      </c>
      <c r="AK41" s="103">
        <f t="shared" si="15"/>
        <v>52.964142857142861</v>
      </c>
      <c r="AL41" s="31"/>
      <c r="AM41" s="31"/>
      <c r="AN41" s="103">
        <f t="shared" si="9"/>
        <v>-147802.52000000002</v>
      </c>
      <c r="AO41" s="103">
        <f t="shared" si="10"/>
        <v>83.379913012982371</v>
      </c>
      <c r="AP41" s="31">
        <f t="shared" si="11"/>
        <v>83152</v>
      </c>
      <c r="AQ41" s="103">
        <f t="shared" si="31"/>
        <v>112.63044052823287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91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1"/>
        <v>0</v>
      </c>
      <c r="Z42" s="31">
        <v>500000</v>
      </c>
      <c r="AA42" s="31">
        <v>200000</v>
      </c>
      <c r="AB42" s="31">
        <v>130000</v>
      </c>
      <c r="AC42" s="31">
        <v>0</v>
      </c>
      <c r="AD42" s="31">
        <v>1500</v>
      </c>
      <c r="AE42" s="31">
        <v>244800</v>
      </c>
      <c r="AF42" s="31">
        <f t="shared" si="20"/>
        <v>246300</v>
      </c>
      <c r="AG42" s="31">
        <f t="shared" si="7"/>
        <v>1500</v>
      </c>
      <c r="AH42" s="103">
        <f t="shared" si="3"/>
        <v>-253700</v>
      </c>
      <c r="AI42" s="103">
        <f t="shared" si="72"/>
        <v>49.26</v>
      </c>
      <c r="AJ42" s="31">
        <f t="shared" si="8"/>
        <v>46300</v>
      </c>
      <c r="AK42" s="103">
        <f t="shared" si="15"/>
        <v>123.15</v>
      </c>
      <c r="AL42" s="31"/>
      <c r="AM42" s="31"/>
      <c r="AN42" s="103">
        <f t="shared" si="9"/>
        <v>116300</v>
      </c>
      <c r="AO42" s="103">
        <f t="shared" si="10"/>
        <v>189.46153846153845</v>
      </c>
      <c r="AP42" s="31">
        <f t="shared" si="11"/>
        <v>246300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95</v>
      </c>
      <c r="J43" s="31"/>
      <c r="K43" s="31"/>
      <c r="L43" s="31"/>
      <c r="M43" s="31"/>
      <c r="N43" s="31"/>
      <c r="O43" s="31">
        <v>0</v>
      </c>
      <c r="P43" s="31">
        <f t="shared" si="69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0"/>
        <v>68665.72</v>
      </c>
      <c r="V43" s="31">
        <v>31048</v>
      </c>
      <c r="W43" s="31"/>
      <c r="X43" s="31"/>
      <c r="Y43" s="31">
        <f>V43</f>
        <v>31048</v>
      </c>
      <c r="Z43" s="31">
        <v>0</v>
      </c>
      <c r="AA43" s="31">
        <v>0</v>
      </c>
      <c r="AB43" s="31">
        <v>0</v>
      </c>
      <c r="AC43" s="31">
        <v>1650</v>
      </c>
      <c r="AD43" s="31">
        <v>900</v>
      </c>
      <c r="AE43" s="31">
        <v>23101</v>
      </c>
      <c r="AF43" s="31">
        <f t="shared" si="20"/>
        <v>24001</v>
      </c>
      <c r="AG43" s="31">
        <f t="shared" si="7"/>
        <v>-750</v>
      </c>
      <c r="AH43" s="103">
        <f t="shared" si="3"/>
        <v>24001</v>
      </c>
      <c r="AI43" s="103">
        <v>0</v>
      </c>
      <c r="AJ43" s="31">
        <f t="shared" si="8"/>
        <v>24001</v>
      </c>
      <c r="AK43" s="103">
        <v>0</v>
      </c>
      <c r="AL43" s="31"/>
      <c r="AM43" s="31"/>
      <c r="AN43" s="103">
        <f t="shared" si="9"/>
        <v>24001</v>
      </c>
      <c r="AO43" s="103">
        <v>0</v>
      </c>
      <c r="AP43" s="31">
        <f t="shared" si="11"/>
        <v>-7047</v>
      </c>
      <c r="AQ43" s="103">
        <f t="shared" si="31"/>
        <v>77.302885854161289</v>
      </c>
      <c r="AR43" s="12"/>
      <c r="AS43" s="12"/>
      <c r="AT43" s="31"/>
    </row>
    <row r="44" spans="1:47" s="5" customFormat="1" ht="28.5" hidden="1" customHeight="1" x14ac:dyDescent="0.3">
      <c r="A44" s="4"/>
      <c r="B44" s="122" t="s">
        <v>12</v>
      </c>
      <c r="C44" s="122"/>
      <c r="D44" s="122"/>
      <c r="E44" s="122"/>
      <c r="F44" s="122"/>
      <c r="G44" s="122"/>
      <c r="H44" s="122"/>
      <c r="I44" s="122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155473.60999999999</v>
      </c>
      <c r="W44" s="13"/>
      <c r="X44" s="13"/>
      <c r="Y44" s="13">
        <f>V44</f>
        <v>155473.60999999999</v>
      </c>
      <c r="Z44" s="13"/>
      <c r="AA44" s="13">
        <v>0</v>
      </c>
      <c r="AB44" s="13">
        <v>0</v>
      </c>
      <c r="AC44" s="13">
        <v>0</v>
      </c>
      <c r="AD44" s="13">
        <v>1253.8800000000001</v>
      </c>
      <c r="AE44" s="13">
        <v>21293.62</v>
      </c>
      <c r="AF44" s="13">
        <f t="shared" si="20"/>
        <v>22547.5</v>
      </c>
      <c r="AG44" s="13">
        <f t="shared" si="7"/>
        <v>1253.8800000000001</v>
      </c>
      <c r="AH44" s="44">
        <f t="shared" si="3"/>
        <v>22547.5</v>
      </c>
      <c r="AI44" s="44">
        <v>0</v>
      </c>
      <c r="AJ44" s="13">
        <f t="shared" si="8"/>
        <v>22547.5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9"/>
        <v>22547.5</v>
      </c>
      <c r="AO44" s="116">
        <v>0</v>
      </c>
      <c r="AP44" s="13">
        <f t="shared" si="11"/>
        <v>-132926.10999999999</v>
      </c>
      <c r="AQ44" s="114">
        <f t="shared" si="31"/>
        <v>14.502461221553936</v>
      </c>
      <c r="AR44" s="12">
        <f t="shared" ref="AR44:AR59" si="73">AF44-M44</f>
        <v>-601899.98</v>
      </c>
      <c r="AS44" s="12">
        <f t="shared" ref="AS44:AS59" si="74">IF(M44=0,0,AF44/M44*100)</f>
        <v>3.6107920557226043</v>
      </c>
      <c r="AT44" s="31">
        <f>AF44</f>
        <v>22547.5</v>
      </c>
    </row>
    <row r="45" spans="1:47" s="10" customFormat="1" ht="60" hidden="1" customHeight="1" x14ac:dyDescent="0.3">
      <c r="A45" s="9"/>
      <c r="B45" s="123" t="s">
        <v>11</v>
      </c>
      <c r="C45" s="123"/>
      <c r="D45" s="123"/>
      <c r="E45" s="123"/>
      <c r="F45" s="123"/>
      <c r="G45" s="123"/>
      <c r="H45" s="123"/>
      <c r="I45" s="123"/>
      <c r="J45" s="12">
        <f t="shared" ref="J45:AF45" si="75">J46+J47</f>
        <v>4290634.29</v>
      </c>
      <c r="K45" s="12">
        <f t="shared" si="75"/>
        <v>4290634.29</v>
      </c>
      <c r="L45" s="12">
        <f t="shared" si="75"/>
        <v>3198289.13</v>
      </c>
      <c r="M45" s="12">
        <f t="shared" si="75"/>
        <v>3198289.13</v>
      </c>
      <c r="N45" s="12">
        <f t="shared" si="75"/>
        <v>3516712.9</v>
      </c>
      <c r="O45" s="12">
        <f t="shared" si="75"/>
        <v>4112775.06</v>
      </c>
      <c r="P45" s="12">
        <f t="shared" si="75"/>
        <v>4112775.06</v>
      </c>
      <c r="Q45" s="12">
        <v>4112775.06</v>
      </c>
      <c r="R45" s="12">
        <f t="shared" si="75"/>
        <v>4112775.06</v>
      </c>
      <c r="S45" s="12">
        <f t="shared" si="75"/>
        <v>1171237.6000000001</v>
      </c>
      <c r="T45" s="12">
        <f t="shared" si="75"/>
        <v>2218931.5799999996</v>
      </c>
      <c r="U45" s="12">
        <f t="shared" si="75"/>
        <v>2218931.5799999996</v>
      </c>
      <c r="V45" s="12">
        <f t="shared" si="75"/>
        <v>712944.26</v>
      </c>
      <c r="W45" s="12"/>
      <c r="X45" s="12">
        <f t="shared" si="75"/>
        <v>0</v>
      </c>
      <c r="Y45" s="12">
        <f t="shared" si="75"/>
        <v>712944.26</v>
      </c>
      <c r="Z45" s="12">
        <f t="shared" si="75"/>
        <v>132000</v>
      </c>
      <c r="AA45" s="12">
        <f t="shared" si="75"/>
        <v>132000</v>
      </c>
      <c r="AB45" s="12">
        <f t="shared" si="75"/>
        <v>132000</v>
      </c>
      <c r="AC45" s="12">
        <f t="shared" si="75"/>
        <v>0</v>
      </c>
      <c r="AD45" s="12">
        <f t="shared" si="75"/>
        <v>0</v>
      </c>
      <c r="AE45" s="12">
        <v>994255.86</v>
      </c>
      <c r="AF45" s="12">
        <f t="shared" si="75"/>
        <v>994255.86</v>
      </c>
      <c r="AG45" s="12">
        <f t="shared" si="7"/>
        <v>0</v>
      </c>
      <c r="AH45" s="44">
        <f t="shared" si="3"/>
        <v>862255.86</v>
      </c>
      <c r="AI45" s="44">
        <f t="shared" ref="AI45:AI58" si="76">AF45/Z45*100</f>
        <v>753.22413636363638</v>
      </c>
      <c r="AJ45" s="12">
        <f t="shared" si="8"/>
        <v>862255.86</v>
      </c>
      <c r="AK45" s="44">
        <f t="shared" si="15"/>
        <v>753.22413636363638</v>
      </c>
      <c r="AL45" s="12" t="e">
        <f>AF45-#REF!</f>
        <v>#REF!</v>
      </c>
      <c r="AM45" s="12" t="e">
        <f>IF(#REF!=0,0,AF45/#REF!*100)</f>
        <v>#REF!</v>
      </c>
      <c r="AN45" s="44">
        <f t="shared" si="9"/>
        <v>862255.86</v>
      </c>
      <c r="AO45" s="119">
        <f t="shared" si="10"/>
        <v>753.22413636363638</v>
      </c>
      <c r="AP45" s="12">
        <f t="shared" si="11"/>
        <v>281311.59999999998</v>
      </c>
      <c r="AQ45" s="44">
        <f t="shared" si="31"/>
        <v>139.45772703184397</v>
      </c>
      <c r="AR45" s="12">
        <f t="shared" si="73"/>
        <v>-2204033.27</v>
      </c>
      <c r="AS45" s="12">
        <f t="shared" si="74"/>
        <v>31.087116254558261</v>
      </c>
      <c r="AT45" s="34">
        <f t="shared" ref="AT45" si="77">AT46+AT47</f>
        <v>994255.86</v>
      </c>
    </row>
    <row r="46" spans="1:47" s="5" customFormat="1" ht="63" hidden="1" customHeight="1" x14ac:dyDescent="0.3">
      <c r="A46" s="4"/>
      <c r="B46" s="122" t="s">
        <v>37</v>
      </c>
      <c r="C46" s="122"/>
      <c r="D46" s="122"/>
      <c r="E46" s="122"/>
      <c r="F46" s="122"/>
      <c r="G46" s="122"/>
      <c r="H46" s="122"/>
      <c r="I46" s="122"/>
      <c r="J46" s="13">
        <v>163530</v>
      </c>
      <c r="K46" s="13">
        <f t="shared" ref="K46:K49" si="78">J46</f>
        <v>163530</v>
      </c>
      <c r="L46" s="13">
        <v>0</v>
      </c>
      <c r="M46" s="13">
        <f t="shared" ref="M46:M49" si="79">L46</f>
        <v>0</v>
      </c>
      <c r="N46" s="13">
        <v>762433</v>
      </c>
      <c r="O46" s="13">
        <v>763713</v>
      </c>
      <c r="P46" s="13">
        <f t="shared" ref="P46:P49" si="80">O46</f>
        <v>763713</v>
      </c>
      <c r="Q46" s="13">
        <v>763713</v>
      </c>
      <c r="R46" s="13">
        <f t="shared" ref="R46:R48" si="81">Q46</f>
        <v>763713</v>
      </c>
      <c r="S46" s="13">
        <v>5228.8</v>
      </c>
      <c r="T46" s="13">
        <v>5228.8</v>
      </c>
      <c r="U46" s="13">
        <f t="shared" ref="U46:U49" si="82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f t="shared" si="20"/>
        <v>0</v>
      </c>
      <c r="AG46" s="13">
        <f t="shared" si="7"/>
        <v>0</v>
      </c>
      <c r="AH46" s="44">
        <f t="shared" si="3"/>
        <v>-132000</v>
      </c>
      <c r="AI46" s="44">
        <f t="shared" si="76"/>
        <v>0</v>
      </c>
      <c r="AJ46" s="13">
        <f t="shared" si="8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9"/>
        <v>0</v>
      </c>
      <c r="AO46" s="116">
        <v>0</v>
      </c>
      <c r="AP46" s="13">
        <f t="shared" si="11"/>
        <v>-5228.8</v>
      </c>
      <c r="AQ46" s="42">
        <f t="shared" si="31"/>
        <v>0</v>
      </c>
      <c r="AR46" s="12">
        <f t="shared" si="73"/>
        <v>0</v>
      </c>
      <c r="AS46" s="12">
        <f t="shared" si="74"/>
        <v>0</v>
      </c>
      <c r="AT46" s="31">
        <f>AF46</f>
        <v>0</v>
      </c>
    </row>
    <row r="47" spans="1:47" s="5" customFormat="1" ht="65.25" hidden="1" customHeight="1" x14ac:dyDescent="0.3">
      <c r="A47" s="4"/>
      <c r="B47" s="122" t="s">
        <v>10</v>
      </c>
      <c r="C47" s="122"/>
      <c r="D47" s="122"/>
      <c r="E47" s="122"/>
      <c r="F47" s="122"/>
      <c r="G47" s="122"/>
      <c r="H47" s="122"/>
      <c r="I47" s="122"/>
      <c r="J47" s="13">
        <v>4127104.29</v>
      </c>
      <c r="K47" s="13">
        <f t="shared" si="78"/>
        <v>4127104.29</v>
      </c>
      <c r="L47" s="13">
        <v>3198289.13</v>
      </c>
      <c r="M47" s="13">
        <f t="shared" si="79"/>
        <v>3198289.13</v>
      </c>
      <c r="N47" s="13">
        <v>2754279.9</v>
      </c>
      <c r="O47" s="13">
        <v>3349062.06</v>
      </c>
      <c r="P47" s="13">
        <f t="shared" si="80"/>
        <v>3349062.06</v>
      </c>
      <c r="Q47" s="13">
        <v>3349062.06</v>
      </c>
      <c r="R47" s="13">
        <f t="shared" si="81"/>
        <v>3349062.06</v>
      </c>
      <c r="S47" s="13">
        <v>1166008.8</v>
      </c>
      <c r="T47" s="13">
        <v>2213702.7799999998</v>
      </c>
      <c r="U47" s="13">
        <f t="shared" si="82"/>
        <v>2213702.7799999998</v>
      </c>
      <c r="V47" s="13">
        <v>707715.46</v>
      </c>
      <c r="W47" s="13"/>
      <c r="X47" s="13"/>
      <c r="Y47" s="13">
        <f>V47</f>
        <v>707715.46</v>
      </c>
      <c r="Z47" s="13">
        <v>0</v>
      </c>
      <c r="AA47" s="13">
        <v>132000</v>
      </c>
      <c r="AB47" s="13">
        <v>132000</v>
      </c>
      <c r="AC47" s="13">
        <v>0</v>
      </c>
      <c r="AD47" s="13">
        <v>0</v>
      </c>
      <c r="AE47" s="13">
        <v>994255.86</v>
      </c>
      <c r="AF47" s="13">
        <f t="shared" si="20"/>
        <v>994255.86</v>
      </c>
      <c r="AG47" s="13">
        <f t="shared" si="7"/>
        <v>0</v>
      </c>
      <c r="AH47" s="44">
        <f t="shared" si="3"/>
        <v>994255.86</v>
      </c>
      <c r="AI47" s="44">
        <v>0</v>
      </c>
      <c r="AJ47" s="13">
        <f t="shared" si="8"/>
        <v>862255.86</v>
      </c>
      <c r="AK47" s="42">
        <f>AF47/AA47%</f>
        <v>753.22413636363638</v>
      </c>
      <c r="AL47" s="13" t="e">
        <f>AF47-#REF!</f>
        <v>#REF!</v>
      </c>
      <c r="AM47" s="13" t="e">
        <f>IF(#REF!=0,0,AF47/#REF!*100)</f>
        <v>#REF!</v>
      </c>
      <c r="AN47" s="42">
        <f t="shared" si="9"/>
        <v>862255.86</v>
      </c>
      <c r="AO47" s="42">
        <f t="shared" si="10"/>
        <v>753.22413636363638</v>
      </c>
      <c r="AP47" s="13">
        <f t="shared" si="11"/>
        <v>286540.40000000002</v>
      </c>
      <c r="AQ47" s="42">
        <f t="shared" si="31"/>
        <v>140.4880797714946</v>
      </c>
      <c r="AR47" s="12">
        <f t="shared" si="73"/>
        <v>-2204033.27</v>
      </c>
      <c r="AS47" s="12">
        <f t="shared" si="74"/>
        <v>31.087116254558261</v>
      </c>
      <c r="AT47" s="31">
        <f>AF47</f>
        <v>994255.86</v>
      </c>
      <c r="AU47" s="86"/>
    </row>
    <row r="48" spans="1:47" s="10" customFormat="1" ht="39.75" hidden="1" customHeight="1" x14ac:dyDescent="0.3">
      <c r="A48" s="9"/>
      <c r="B48" s="123" t="s">
        <v>9</v>
      </c>
      <c r="C48" s="123"/>
      <c r="D48" s="123"/>
      <c r="E48" s="123"/>
      <c r="F48" s="123"/>
      <c r="G48" s="123"/>
      <c r="H48" s="123"/>
      <c r="I48" s="123"/>
      <c r="J48" s="12">
        <v>2338187.02</v>
      </c>
      <c r="K48" s="12">
        <f t="shared" si="78"/>
        <v>2338187.02</v>
      </c>
      <c r="L48" s="12">
        <v>974257.27</v>
      </c>
      <c r="M48" s="12">
        <f t="shared" si="79"/>
        <v>974257.27</v>
      </c>
      <c r="N48" s="12">
        <v>2799320.03</v>
      </c>
      <c r="O48" s="12">
        <v>3055345.14</v>
      </c>
      <c r="P48" s="12">
        <f t="shared" si="80"/>
        <v>3055345.14</v>
      </c>
      <c r="Q48" s="12">
        <v>3055345.14</v>
      </c>
      <c r="R48" s="12">
        <f t="shared" si="81"/>
        <v>3055345.14</v>
      </c>
      <c r="S48" s="12">
        <v>2239812</v>
      </c>
      <c r="T48" s="12">
        <v>2273274.8299999996</v>
      </c>
      <c r="U48" s="12">
        <f t="shared" si="82"/>
        <v>2273274.8299999996</v>
      </c>
      <c r="V48" s="12">
        <v>919923.54</v>
      </c>
      <c r="W48" s="12"/>
      <c r="X48" s="12"/>
      <c r="Y48" s="12">
        <f>V48</f>
        <v>919923.54</v>
      </c>
      <c r="Z48" s="12">
        <v>1249470</v>
      </c>
      <c r="AA48" s="12">
        <v>1147080</v>
      </c>
      <c r="AB48" s="12">
        <v>716030.92</v>
      </c>
      <c r="AC48" s="12">
        <v>23170.44</v>
      </c>
      <c r="AD48" s="12">
        <v>22292.6</v>
      </c>
      <c r="AE48" s="12">
        <v>1351098.35</v>
      </c>
      <c r="AF48" s="12">
        <f t="shared" si="20"/>
        <v>1373390.9500000002</v>
      </c>
      <c r="AG48" s="12">
        <f t="shared" si="7"/>
        <v>-877.84000000000015</v>
      </c>
      <c r="AH48" s="44">
        <f t="shared" si="3"/>
        <v>123920.95000000019</v>
      </c>
      <c r="AI48" s="44">
        <f t="shared" si="76"/>
        <v>109.91788118162103</v>
      </c>
      <c r="AJ48" s="12">
        <f t="shared" si="8"/>
        <v>226310.95000000019</v>
      </c>
      <c r="AK48" s="44">
        <f t="shared" si="15"/>
        <v>119.72930833071803</v>
      </c>
      <c r="AL48" s="12" t="e">
        <f>AF48-#REF!</f>
        <v>#REF!</v>
      </c>
      <c r="AM48" s="12" t="e">
        <f>IF(#REF!=0,0,AF48/#REF!*100)</f>
        <v>#REF!</v>
      </c>
      <c r="AN48" s="44">
        <f t="shared" si="9"/>
        <v>657360.03000000014</v>
      </c>
      <c r="AO48" s="44">
        <f t="shared" si="10"/>
        <v>191.8060954686147</v>
      </c>
      <c r="AP48" s="12">
        <f t="shared" si="11"/>
        <v>453467.41000000015</v>
      </c>
      <c r="AQ48" s="44">
        <f t="shared" si="31"/>
        <v>149.29403263232075</v>
      </c>
      <c r="AR48" s="12">
        <f t="shared" si="73"/>
        <v>399133.68000000017</v>
      </c>
      <c r="AS48" s="12">
        <f t="shared" si="74"/>
        <v>140.96799606124571</v>
      </c>
      <c r="AT48" s="34">
        <f>AF48</f>
        <v>1373390.9500000002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96</v>
      </c>
      <c r="J49" s="16">
        <v>256536.06</v>
      </c>
      <c r="K49" s="16">
        <f t="shared" si="78"/>
        <v>256536.06</v>
      </c>
      <c r="L49" s="16">
        <v>109317.03</v>
      </c>
      <c r="M49" s="16">
        <f t="shared" si="79"/>
        <v>109317.03</v>
      </c>
      <c r="N49" s="16">
        <v>210726.7</v>
      </c>
      <c r="O49" s="25">
        <f>221100.64+0.02+606.42</f>
        <v>221707.08000000002</v>
      </c>
      <c r="P49" s="16">
        <f t="shared" si="80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2"/>
        <v>278352.34000000003</v>
      </c>
      <c r="V49" s="25">
        <v>139075.69</v>
      </c>
      <c r="W49" s="25"/>
      <c r="X49" s="25"/>
      <c r="Y49" s="16">
        <f>V49</f>
        <v>139075.69</v>
      </c>
      <c r="Z49" s="25">
        <v>336190</v>
      </c>
      <c r="AA49" s="25">
        <v>159900</v>
      </c>
      <c r="AB49" s="25">
        <v>131337</v>
      </c>
      <c r="AC49" s="25">
        <v>3500.05</v>
      </c>
      <c r="AD49" s="25">
        <v>13781.62</v>
      </c>
      <c r="AE49" s="25">
        <v>122320.11</v>
      </c>
      <c r="AF49" s="25">
        <f>AE49+AD49</f>
        <v>136101.73000000001</v>
      </c>
      <c r="AG49" s="16">
        <f t="shared" si="7"/>
        <v>10281.57</v>
      </c>
      <c r="AH49" s="44">
        <f t="shared" si="3"/>
        <v>-200088.27</v>
      </c>
      <c r="AI49" s="44">
        <f t="shared" si="76"/>
        <v>40.483574764270209</v>
      </c>
      <c r="AJ49" s="12">
        <f t="shared" si="8"/>
        <v>-23798.26999999999</v>
      </c>
      <c r="AK49" s="42">
        <f t="shared" si="15"/>
        <v>85.116779237023152</v>
      </c>
      <c r="AL49" s="13" t="e">
        <f>AF49-#REF!</f>
        <v>#REF!</v>
      </c>
      <c r="AM49" s="13" t="e">
        <f>IF(#REF!=0,0,AF49/#REF!*100)</f>
        <v>#REF!</v>
      </c>
      <c r="AN49" s="42">
        <f t="shared" si="9"/>
        <v>4764.7300000000105</v>
      </c>
      <c r="AO49" s="42">
        <f t="shared" si="10"/>
        <v>103.62786571948499</v>
      </c>
      <c r="AP49" s="13">
        <f t="shared" si="11"/>
        <v>-2973.9599999999919</v>
      </c>
      <c r="AQ49" s="42">
        <f t="shared" si="31"/>
        <v>97.861624846153916</v>
      </c>
      <c r="AR49" s="12">
        <f t="shared" si="73"/>
        <v>26784.700000000012</v>
      </c>
      <c r="AS49" s="12">
        <f t="shared" si="74"/>
        <v>124.50185483451209</v>
      </c>
      <c r="AT49" s="31">
        <f>AF49</f>
        <v>136101.73000000001</v>
      </c>
      <c r="AV49" s="25"/>
    </row>
    <row r="50" spans="1:48" s="10" customFormat="1" ht="36.75" hidden="1" customHeight="1" x14ac:dyDescent="0.3">
      <c r="A50" s="9"/>
      <c r="B50" s="123" t="s">
        <v>7</v>
      </c>
      <c r="C50" s="123"/>
      <c r="D50" s="123"/>
      <c r="E50" s="123"/>
      <c r="F50" s="123"/>
      <c r="G50" s="123"/>
      <c r="H50" s="123"/>
      <c r="I50" s="123"/>
      <c r="J50" s="12">
        <f t="shared" ref="J50:P50" si="83">J51+J53</f>
        <v>1294662.3799999999</v>
      </c>
      <c r="K50" s="12">
        <f t="shared" si="83"/>
        <v>6201374.7299999995</v>
      </c>
      <c r="L50" s="12">
        <f t="shared" si="83"/>
        <v>389278.05</v>
      </c>
      <c r="M50" s="12">
        <f t="shared" si="83"/>
        <v>3960631.8599999994</v>
      </c>
      <c r="N50" s="12">
        <f t="shared" si="83"/>
        <v>2895802</v>
      </c>
      <c r="O50" s="12">
        <f t="shared" si="83"/>
        <v>4075696.4</v>
      </c>
      <c r="P50" s="12">
        <f t="shared" si="83"/>
        <v>4075696.4</v>
      </c>
      <c r="Q50" s="12">
        <v>4075696.4</v>
      </c>
      <c r="R50" s="12">
        <f t="shared" ref="R50" si="84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85">U51+U52+U53</f>
        <v>5495063.3199999994</v>
      </c>
      <c r="V50" s="12">
        <f t="shared" si="85"/>
        <v>4859818.83</v>
      </c>
      <c r="W50" s="12">
        <f t="shared" si="85"/>
        <v>0</v>
      </c>
      <c r="X50" s="12">
        <f t="shared" si="85"/>
        <v>0</v>
      </c>
      <c r="Y50" s="12">
        <f t="shared" si="85"/>
        <v>4859818.83</v>
      </c>
      <c r="Z50" s="12">
        <f t="shared" ref="Z50:AE50" si="86">Z51+Z53</f>
        <v>2715689.65</v>
      </c>
      <c r="AA50" s="12">
        <f t="shared" si="85"/>
        <v>4906712.3499999996</v>
      </c>
      <c r="AB50" s="12">
        <f t="shared" si="85"/>
        <v>3607830.71</v>
      </c>
      <c r="AC50" s="12">
        <f t="shared" si="85"/>
        <v>74621.34</v>
      </c>
      <c r="AD50" s="12">
        <f t="shared" si="85"/>
        <v>116566.24</v>
      </c>
      <c r="AE50" s="12">
        <f t="shared" si="86"/>
        <v>3469820.76</v>
      </c>
      <c r="AF50" s="12">
        <f>AF51+AF52+AF53</f>
        <v>3689012.9999999995</v>
      </c>
      <c r="AG50" s="12">
        <f t="shared" si="7"/>
        <v>41944.900000000009</v>
      </c>
      <c r="AH50" s="44">
        <f t="shared" si="3"/>
        <v>973323.34999999963</v>
      </c>
      <c r="AI50" s="44">
        <f t="shared" si="76"/>
        <v>135.84074306870815</v>
      </c>
      <c r="AJ50" s="12">
        <f t="shared" si="8"/>
        <v>-1217699.3500000001</v>
      </c>
      <c r="AK50" s="44">
        <f t="shared" si="15"/>
        <v>75.182988870337994</v>
      </c>
      <c r="AL50" s="12" t="e">
        <f>AF50-#REF!</f>
        <v>#REF!</v>
      </c>
      <c r="AM50" s="12" t="e">
        <f>IF(#REF!=0,0,AF50/#REF!*100)</f>
        <v>#REF!</v>
      </c>
      <c r="AN50" s="44">
        <f t="shared" si="9"/>
        <v>81182.289999999572</v>
      </c>
      <c r="AO50" s="44">
        <f t="shared" si="10"/>
        <v>102.2501690496448</v>
      </c>
      <c r="AP50" s="12">
        <f t="shared" si="11"/>
        <v>-1170805.8300000005</v>
      </c>
      <c r="AQ50" s="44">
        <f t="shared" si="31"/>
        <v>75.90844698216867</v>
      </c>
      <c r="AR50" s="12">
        <f t="shared" si="73"/>
        <v>-271618.85999999987</v>
      </c>
      <c r="AS50" s="12">
        <f t="shared" si="74"/>
        <v>93.14203214029591</v>
      </c>
      <c r="AT50" s="34">
        <f t="shared" ref="AT50" si="87">AT51+AT53</f>
        <v>4369385.1899999995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76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-39116.519999999997</v>
      </c>
      <c r="W51" s="13"/>
      <c r="X51" s="13"/>
      <c r="Y51" s="13">
        <f>V51</f>
        <v>-39116.519999999997</v>
      </c>
      <c r="Z51" s="13">
        <v>0</v>
      </c>
      <c r="AA51" s="13">
        <v>0</v>
      </c>
      <c r="AB51" s="13">
        <v>0</v>
      </c>
      <c r="AC51" s="113">
        <v>-119718.69</v>
      </c>
      <c r="AD51" s="113">
        <v>-3487.33</v>
      </c>
      <c r="AE51" s="13">
        <v>17320.519999999844</v>
      </c>
      <c r="AF51" s="13">
        <f t="shared" si="20"/>
        <v>13833.189999999844</v>
      </c>
      <c r="AG51" s="16">
        <f t="shared" si="7"/>
        <v>116231.36</v>
      </c>
      <c r="AH51" s="44">
        <f t="shared" si="3"/>
        <v>13833.189999999844</v>
      </c>
      <c r="AI51" s="44">
        <v>0</v>
      </c>
      <c r="AJ51" s="13">
        <f t="shared" si="8"/>
        <v>13833.189999999844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9"/>
        <v>13833.189999999844</v>
      </c>
      <c r="AO51" s="116">
        <v>0</v>
      </c>
      <c r="AP51" s="13">
        <f t="shared" si="11"/>
        <v>52949.709999999839</v>
      </c>
      <c r="AQ51" s="115">
        <v>135.36000000000001</v>
      </c>
      <c r="AR51" s="12">
        <f t="shared" si="73"/>
        <v>-375444.86000000016</v>
      </c>
      <c r="AS51" s="12">
        <f t="shared" si="74"/>
        <v>3.553549962552434</v>
      </c>
      <c r="AT51" s="31">
        <f>AF51</f>
        <v>13833.189999999844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77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88">T52</f>
        <v>155286.9</v>
      </c>
      <c r="V52" s="13">
        <v>108336.9</v>
      </c>
      <c r="W52" s="13"/>
      <c r="X52" s="13"/>
      <c r="Y52" s="13">
        <f t="shared" ref="Y52:Y53" si="89">V52</f>
        <v>108336.9</v>
      </c>
      <c r="Z52" s="13"/>
      <c r="AA52" s="13">
        <v>0</v>
      </c>
      <c r="AB52" s="13">
        <v>0</v>
      </c>
      <c r="AC52" s="113">
        <v>2553</v>
      </c>
      <c r="AD52" s="113">
        <v>1200</v>
      </c>
      <c r="AE52" s="13">
        <v>102626</v>
      </c>
      <c r="AF52" s="13">
        <f t="shared" si="20"/>
        <v>103826</v>
      </c>
      <c r="AG52" s="16">
        <f t="shared" si="7"/>
        <v>-1353</v>
      </c>
      <c r="AH52" s="44"/>
      <c r="AI52" s="44"/>
      <c r="AJ52" s="13">
        <f t="shared" si="8"/>
        <v>103826</v>
      </c>
      <c r="AK52" s="116">
        <v>0</v>
      </c>
      <c r="AL52" s="13"/>
      <c r="AM52" s="13"/>
      <c r="AN52" s="42">
        <f t="shared" si="9"/>
        <v>103826</v>
      </c>
      <c r="AO52" s="116">
        <v>0</v>
      </c>
      <c r="AP52" s="13">
        <f t="shared" si="11"/>
        <v>-4510.8999999999942</v>
      </c>
      <c r="AQ52" s="44">
        <f t="shared" si="31"/>
        <v>95.836229391832333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3571353.8099999996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88"/>
        <v>5381046.0499999998</v>
      </c>
      <c r="V53" s="13">
        <v>4790598.45</v>
      </c>
      <c r="W53" s="13"/>
      <c r="X53" s="13"/>
      <c r="Y53" s="13">
        <f t="shared" si="89"/>
        <v>4790598.45</v>
      </c>
      <c r="Z53" s="13">
        <v>2715689.65</v>
      </c>
      <c r="AA53" s="13">
        <v>4906712.3499999996</v>
      </c>
      <c r="AB53" s="13">
        <v>3607830.71</v>
      </c>
      <c r="AC53" s="13">
        <v>191787.03</v>
      </c>
      <c r="AD53" s="13">
        <v>118853.57</v>
      </c>
      <c r="AE53" s="13">
        <v>3452500.2399999998</v>
      </c>
      <c r="AF53" s="13">
        <f t="shared" si="20"/>
        <v>3571353.8099999996</v>
      </c>
      <c r="AG53" s="16">
        <f t="shared" si="7"/>
        <v>-72933.459999999992</v>
      </c>
      <c r="AH53" s="44">
        <f t="shared" si="3"/>
        <v>855664.15999999968</v>
      </c>
      <c r="AI53" s="44">
        <f t="shared" si="76"/>
        <v>131.50817178244208</v>
      </c>
      <c r="AJ53" s="13">
        <f t="shared" si="8"/>
        <v>-1335358.54</v>
      </c>
      <c r="AK53" s="42">
        <f t="shared" si="15"/>
        <v>72.785065747740447</v>
      </c>
      <c r="AL53" s="13" t="e">
        <f>AF53-#REF!</f>
        <v>#REF!</v>
      </c>
      <c r="AM53" s="13" t="e">
        <f>IF(#REF!=0,0,AF53/#REF!*100)</f>
        <v>#REF!</v>
      </c>
      <c r="AN53" s="42">
        <f t="shared" si="9"/>
        <v>-36476.900000000373</v>
      </c>
      <c r="AO53" s="42">
        <f t="shared" si="10"/>
        <v>98.988952006564617</v>
      </c>
      <c r="AP53" s="13">
        <f t="shared" si="11"/>
        <v>-1219244.6400000006</v>
      </c>
      <c r="AQ53" s="42">
        <f t="shared" si="31"/>
        <v>74.549220672001837</v>
      </c>
      <c r="AR53" s="12">
        <f t="shared" si="73"/>
        <v>0</v>
      </c>
      <c r="AS53" s="12">
        <f t="shared" si="74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23" t="s">
        <v>1</v>
      </c>
      <c r="C54" s="123"/>
      <c r="D54" s="123"/>
      <c r="E54" s="123"/>
      <c r="F54" s="123"/>
      <c r="G54" s="123"/>
      <c r="H54" s="123"/>
      <c r="I54" s="123"/>
      <c r="J54" s="12">
        <f t="shared" ref="J54:R54" si="90">J55+J56+J57+J58+J59+J61+J62</f>
        <v>1731743649.9200001</v>
      </c>
      <c r="K54" s="12">
        <f t="shared" si="90"/>
        <v>1726065816.5200002</v>
      </c>
      <c r="L54" s="26">
        <f t="shared" si="90"/>
        <v>754564037.68999994</v>
      </c>
      <c r="M54" s="26">
        <f t="shared" si="90"/>
        <v>750829669.28999996</v>
      </c>
      <c r="N54" s="12">
        <f t="shared" si="90"/>
        <v>1949401304.4499998</v>
      </c>
      <c r="O54" s="12">
        <f t="shared" si="90"/>
        <v>1942881158.9100001</v>
      </c>
      <c r="P54" s="12">
        <f t="shared" si="90"/>
        <v>1942881158.9100001</v>
      </c>
      <c r="Q54" s="12">
        <v>1942881158.9100001</v>
      </c>
      <c r="R54" s="12">
        <f t="shared" si="90"/>
        <v>1942881158.9100001</v>
      </c>
      <c r="S54" s="12">
        <f t="shared" ref="S54:AD54" si="91">S55+S56+S57+S58+S59+S60+S61+S62</f>
        <v>2058217674.4300001</v>
      </c>
      <c r="T54" s="12">
        <f t="shared" si="91"/>
        <v>2039899297.8500004</v>
      </c>
      <c r="U54" s="12">
        <f t="shared" si="91"/>
        <v>2039899297.8500004</v>
      </c>
      <c r="V54" s="12">
        <f t="shared" si="91"/>
        <v>1135150328.1400001</v>
      </c>
      <c r="W54" s="12">
        <f t="shared" si="91"/>
        <v>0</v>
      </c>
      <c r="X54" s="12">
        <f t="shared" si="91"/>
        <v>0</v>
      </c>
      <c r="Y54" s="12">
        <f t="shared" si="91"/>
        <v>1135150328.1400001</v>
      </c>
      <c r="Z54" s="12">
        <f t="shared" si="91"/>
        <v>1741578685.6100001</v>
      </c>
      <c r="AA54" s="12">
        <f t="shared" si="91"/>
        <v>1791130649.1300001</v>
      </c>
      <c r="AB54" s="12">
        <f t="shared" si="91"/>
        <v>1039612171.1800001</v>
      </c>
      <c r="AC54" s="12">
        <f t="shared" si="91"/>
        <v>49789583.879999995</v>
      </c>
      <c r="AD54" s="12">
        <f t="shared" si="91"/>
        <v>28797686.810000002</v>
      </c>
      <c r="AE54" s="12">
        <v>874255547.5</v>
      </c>
      <c r="AF54" s="12">
        <f>AF55+AF56+AF57+AF58+AF59+AF60+AF61+AF62</f>
        <v>903053234.31000006</v>
      </c>
      <c r="AG54" s="12">
        <f t="shared" si="7"/>
        <v>-20991897.069999993</v>
      </c>
      <c r="AH54" s="44">
        <f t="shared" si="3"/>
        <v>-838525451.30000007</v>
      </c>
      <c r="AI54" s="44">
        <f t="shared" si="76"/>
        <v>51.85256582269777</v>
      </c>
      <c r="AJ54" s="12">
        <f t="shared" si="8"/>
        <v>-888077414.82000005</v>
      </c>
      <c r="AK54" s="44">
        <f t="shared" si="15"/>
        <v>50.418054916800017</v>
      </c>
      <c r="AL54" s="12" t="e">
        <f>AF54-#REF!</f>
        <v>#REF!</v>
      </c>
      <c r="AM54" s="12" t="e">
        <f>IF(#REF!=0,0,AF54/#REF!*100)</f>
        <v>#REF!</v>
      </c>
      <c r="AN54" s="44">
        <f t="shared" si="9"/>
        <v>-136558936.87</v>
      </c>
      <c r="AO54" s="44">
        <f t="shared" si="10"/>
        <v>86.864434579002634</v>
      </c>
      <c r="AP54" s="12">
        <f t="shared" si="11"/>
        <v>-232097093.83000004</v>
      </c>
      <c r="AQ54" s="44">
        <f t="shared" si="31"/>
        <v>79.553624918533686</v>
      </c>
      <c r="AR54" s="12">
        <f t="shared" si="73"/>
        <v>152223565.0200001</v>
      </c>
      <c r="AS54" s="12">
        <f t="shared" si="74"/>
        <v>120.27404766302668</v>
      </c>
      <c r="AT54" s="34" t="e">
        <f t="shared" ref="AT54" si="92">AT55+AT56+AT57+AT58+AT59+AT61+AT62</f>
        <v>#REF!</v>
      </c>
    </row>
    <row r="55" spans="1:48" s="10" customFormat="1" ht="38.25" customHeight="1" x14ac:dyDescent="0.3">
      <c r="A55" s="9"/>
      <c r="B55" s="123" t="s">
        <v>6</v>
      </c>
      <c r="C55" s="123"/>
      <c r="D55" s="123"/>
      <c r="E55" s="123"/>
      <c r="F55" s="123"/>
      <c r="G55" s="123"/>
      <c r="H55" s="123"/>
      <c r="I55" s="12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93">O55</f>
        <v>436509000</v>
      </c>
      <c r="Q55" s="12">
        <v>436509000</v>
      </c>
      <c r="R55" s="12">
        <f t="shared" ref="R55:R62" si="94">Q55</f>
        <v>436509000</v>
      </c>
      <c r="S55" s="12">
        <v>543552380</v>
      </c>
      <c r="T55" s="12">
        <v>543552380</v>
      </c>
      <c r="U55" s="12">
        <f t="shared" ref="U55:U62" si="95">T55</f>
        <v>543552380</v>
      </c>
      <c r="V55" s="12">
        <v>369048229</v>
      </c>
      <c r="W55" s="12"/>
      <c r="X55" s="12"/>
      <c r="Y55" s="12">
        <f t="shared" ref="Y55:Y62" si="96">V55</f>
        <v>369048229</v>
      </c>
      <c r="Z55" s="12">
        <v>543282000</v>
      </c>
      <c r="AA55" s="12">
        <v>504630000</v>
      </c>
      <c r="AB55" s="34">
        <v>294367500</v>
      </c>
      <c r="AC55" s="12">
        <v>25457332</v>
      </c>
      <c r="AD55" s="12">
        <v>0</v>
      </c>
      <c r="AE55" s="12">
        <v>277772332</v>
      </c>
      <c r="AF55" s="12">
        <f t="shared" si="20"/>
        <v>277772332</v>
      </c>
      <c r="AG55" s="12">
        <f t="shared" si="7"/>
        <v>-25457332</v>
      </c>
      <c r="AH55" s="44">
        <f t="shared" si="3"/>
        <v>-265509668</v>
      </c>
      <c r="AI55" s="44">
        <f t="shared" si="76"/>
        <v>51.128572638151091</v>
      </c>
      <c r="AJ55" s="12">
        <f t="shared" si="8"/>
        <v>-226857668</v>
      </c>
      <c r="AK55" s="44">
        <f t="shared" si="15"/>
        <v>55.044751996512296</v>
      </c>
      <c r="AL55" s="12" t="e">
        <f>AF55-#REF!</f>
        <v>#REF!</v>
      </c>
      <c r="AM55" s="12" t="e">
        <f>IF(#REF!=0,0,AF55/#REF!*100)</f>
        <v>#REF!</v>
      </c>
      <c r="AN55" s="44">
        <f t="shared" si="9"/>
        <v>-16595168</v>
      </c>
      <c r="AO55" s="44">
        <f t="shared" si="10"/>
        <v>94.36243199402108</v>
      </c>
      <c r="AP55" s="12">
        <f t="shared" si="11"/>
        <v>-91275897</v>
      </c>
      <c r="AQ55" s="44">
        <f t="shared" si="31"/>
        <v>75.267217174479384</v>
      </c>
      <c r="AR55" s="12">
        <f t="shared" si="73"/>
        <v>76283332</v>
      </c>
      <c r="AS55" s="12">
        <f t="shared" si="74"/>
        <v>137.85979979055929</v>
      </c>
      <c r="AT55" s="34">
        <v>436509000</v>
      </c>
    </row>
    <row r="56" spans="1:48" s="10" customFormat="1" ht="43.5" customHeight="1" x14ac:dyDescent="0.3">
      <c r="A56" s="9"/>
      <c r="B56" s="123" t="s">
        <v>5</v>
      </c>
      <c r="C56" s="123"/>
      <c r="D56" s="123"/>
      <c r="E56" s="123"/>
      <c r="F56" s="123"/>
      <c r="G56" s="123"/>
      <c r="H56" s="123"/>
      <c r="I56" s="12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93"/>
        <v>266680542.02000001</v>
      </c>
      <c r="Q56" s="12">
        <v>266680542.02000001</v>
      </c>
      <c r="R56" s="12">
        <f t="shared" si="94"/>
        <v>266680542.02000001</v>
      </c>
      <c r="S56" s="12">
        <v>448087921.25</v>
      </c>
      <c r="T56" s="12">
        <v>432403468.83000004</v>
      </c>
      <c r="U56" s="12">
        <f t="shared" si="95"/>
        <v>432403468.83000004</v>
      </c>
      <c r="V56" s="12">
        <v>110265529.06999999</v>
      </c>
      <c r="W56" s="12"/>
      <c r="X56" s="12"/>
      <c r="Y56" s="12">
        <f t="shared" si="96"/>
        <v>110265529.06999999</v>
      </c>
      <c r="Z56" s="12">
        <v>164450526.09999999</v>
      </c>
      <c r="AA56" s="12">
        <v>377560191.22000003</v>
      </c>
      <c r="AB56" s="12">
        <v>156193876.12</v>
      </c>
      <c r="AC56" s="12">
        <v>3425255.22</v>
      </c>
      <c r="AD56" s="12">
        <v>10521285.51</v>
      </c>
      <c r="AE56" s="12">
        <v>112219749.11999997</v>
      </c>
      <c r="AF56" s="12">
        <f t="shared" si="20"/>
        <v>122741034.62999998</v>
      </c>
      <c r="AG56" s="12">
        <f t="shared" si="7"/>
        <v>7096030.2899999991</v>
      </c>
      <c r="AH56" s="44">
        <f t="shared" si="3"/>
        <v>-41709491.470000014</v>
      </c>
      <c r="AI56" s="44">
        <f t="shared" si="76"/>
        <v>74.637058050737366</v>
      </c>
      <c r="AJ56" s="12">
        <f t="shared" si="8"/>
        <v>-254819156.59000003</v>
      </c>
      <c r="AK56" s="44">
        <f t="shared" si="15"/>
        <v>32.508997898690062</v>
      </c>
      <c r="AL56" s="12" t="e">
        <f>AF56-#REF!</f>
        <v>#REF!</v>
      </c>
      <c r="AM56" s="12" t="e">
        <f>IF(#REF!=0,0,AF56/#REF!*100)</f>
        <v>#REF!</v>
      </c>
      <c r="AN56" s="44">
        <f t="shared" si="9"/>
        <v>-33452841.490000024</v>
      </c>
      <c r="AO56" s="44">
        <f t="shared" si="10"/>
        <v>78.58248842976468</v>
      </c>
      <c r="AP56" s="12">
        <f t="shared" si="11"/>
        <v>12475505.559999987</v>
      </c>
      <c r="AQ56" s="44">
        <f t="shared" si="31"/>
        <v>111.31405767987576</v>
      </c>
      <c r="AR56" s="12">
        <f t="shared" si="73"/>
        <v>54488850.529999986</v>
      </c>
      <c r="AS56" s="12">
        <f t="shared" si="74"/>
        <v>179.83458880988394</v>
      </c>
      <c r="AT56" s="34" t="e">
        <f>#REF!</f>
        <v>#REF!</v>
      </c>
    </row>
    <row r="57" spans="1:48" s="10" customFormat="1" ht="45" customHeight="1" x14ac:dyDescent="0.3">
      <c r="A57" s="9"/>
      <c r="B57" s="123" t="s">
        <v>4</v>
      </c>
      <c r="C57" s="123"/>
      <c r="D57" s="123"/>
      <c r="E57" s="123"/>
      <c r="F57" s="123"/>
      <c r="G57" s="123"/>
      <c r="H57" s="123"/>
      <c r="I57" s="12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93"/>
        <v>1213354064.45</v>
      </c>
      <c r="Q57" s="12">
        <v>1213354064.45</v>
      </c>
      <c r="R57" s="12">
        <f t="shared" si="94"/>
        <v>1213354064.45</v>
      </c>
      <c r="S57" s="12">
        <v>1052485113.04</v>
      </c>
      <c r="T57" s="12">
        <v>1050017221.74</v>
      </c>
      <c r="U57" s="12">
        <f t="shared" si="95"/>
        <v>1050017221.74</v>
      </c>
      <c r="V57" s="12">
        <v>653147356.74000001</v>
      </c>
      <c r="W57" s="12"/>
      <c r="X57" s="12"/>
      <c r="Y57" s="12">
        <f t="shared" si="96"/>
        <v>653147356.74000001</v>
      </c>
      <c r="Z57" s="12">
        <v>1032066181.7</v>
      </c>
      <c r="AA57" s="12">
        <v>877282506.40999997</v>
      </c>
      <c r="AB57" s="12">
        <v>571528509.32000005</v>
      </c>
      <c r="AC57" s="12">
        <v>19368227.129999999</v>
      </c>
      <c r="AD57" s="12">
        <v>18276401.300000001</v>
      </c>
      <c r="AE57" s="12">
        <v>468331724.99000001</v>
      </c>
      <c r="AF57" s="12">
        <f t="shared" si="20"/>
        <v>486608126.29000002</v>
      </c>
      <c r="AG57" s="12">
        <f t="shared" si="7"/>
        <v>-1091825.8299999982</v>
      </c>
      <c r="AH57" s="44">
        <f t="shared" si="3"/>
        <v>-545458055.41000009</v>
      </c>
      <c r="AI57" s="44">
        <f t="shared" si="76"/>
        <v>47.148926582253495</v>
      </c>
      <c r="AJ57" s="12">
        <f t="shared" si="8"/>
        <v>-390674380.11999995</v>
      </c>
      <c r="AK57" s="44">
        <f t="shared" si="15"/>
        <v>55.46766551646963</v>
      </c>
      <c r="AL57" s="12" t="e">
        <f>AF57-#REF!</f>
        <v>#REF!</v>
      </c>
      <c r="AM57" s="12" t="e">
        <f>IF(#REF!=0,0,AF57/#REF!*100)</f>
        <v>#REF!</v>
      </c>
      <c r="AN57" s="44">
        <f t="shared" si="9"/>
        <v>-84920383.030000031</v>
      </c>
      <c r="AO57" s="44">
        <f t="shared" si="10"/>
        <v>85.141531586755377</v>
      </c>
      <c r="AP57" s="12">
        <f t="shared" si="11"/>
        <v>-166539230.44999999</v>
      </c>
      <c r="AQ57" s="44">
        <f t="shared" si="31"/>
        <v>74.502043263064962</v>
      </c>
      <c r="AR57" s="12">
        <f t="shared" si="73"/>
        <v>2109444.1700000167</v>
      </c>
      <c r="AS57" s="12">
        <f t="shared" si="74"/>
        <v>100.43538697789019</v>
      </c>
      <c r="AT57" s="34" t="e">
        <f>#REF!</f>
        <v>#REF!</v>
      </c>
    </row>
    <row r="58" spans="1:48" s="10" customFormat="1" ht="27" customHeight="1" x14ac:dyDescent="0.3">
      <c r="A58" s="9"/>
      <c r="B58" s="123" t="s">
        <v>3</v>
      </c>
      <c r="C58" s="123"/>
      <c r="D58" s="123"/>
      <c r="E58" s="123"/>
      <c r="F58" s="123"/>
      <c r="G58" s="123"/>
      <c r="H58" s="123"/>
      <c r="I58" s="12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93"/>
        <v>31536396.41</v>
      </c>
      <c r="Q58" s="12">
        <v>31536396.41</v>
      </c>
      <c r="R58" s="12">
        <f t="shared" si="94"/>
        <v>31536396.41</v>
      </c>
      <c r="S58" s="12">
        <v>14687976.27</v>
      </c>
      <c r="T58" s="12">
        <v>14514443.27</v>
      </c>
      <c r="U58" s="12">
        <f t="shared" si="95"/>
        <v>14514443.27</v>
      </c>
      <c r="V58" s="12">
        <v>3328548.05</v>
      </c>
      <c r="W58" s="12"/>
      <c r="X58" s="12"/>
      <c r="Y58" s="12">
        <f t="shared" si="96"/>
        <v>3328548.05</v>
      </c>
      <c r="Z58" s="12">
        <v>1779977.81</v>
      </c>
      <c r="AA58" s="12">
        <v>31657951.5</v>
      </c>
      <c r="AB58" s="12">
        <v>17522285.739999998</v>
      </c>
      <c r="AC58" s="12">
        <v>1538769.53</v>
      </c>
      <c r="AD58" s="12">
        <v>0</v>
      </c>
      <c r="AE58" s="12">
        <v>19137380.25</v>
      </c>
      <c r="AF58" s="12">
        <f t="shared" si="20"/>
        <v>19137380.25</v>
      </c>
      <c r="AG58" s="12">
        <f t="shared" si="7"/>
        <v>-1538769.53</v>
      </c>
      <c r="AH58" s="44">
        <f t="shared" si="3"/>
        <v>17357402.440000001</v>
      </c>
      <c r="AI58" s="44">
        <f t="shared" si="76"/>
        <v>1075.1471250082607</v>
      </c>
      <c r="AJ58" s="12">
        <f t="shared" si="8"/>
        <v>-12520571.25</v>
      </c>
      <c r="AK58" s="44">
        <f t="shared" si="15"/>
        <v>60.450469292051316</v>
      </c>
      <c r="AL58" s="12" t="e">
        <f>AF58-#REF!</f>
        <v>#REF!</v>
      </c>
      <c r="AM58" s="12" t="e">
        <f>IF(#REF!=0,0,AF58/#REF!*100)</f>
        <v>#REF!</v>
      </c>
      <c r="AN58" s="44">
        <f t="shared" si="9"/>
        <v>1615094.5100000016</v>
      </c>
      <c r="AO58" s="44">
        <f t="shared" si="10"/>
        <v>109.21737342927271</v>
      </c>
      <c r="AP58" s="12">
        <f t="shared" si="11"/>
        <v>15808832.199999999</v>
      </c>
      <c r="AQ58" s="44">
        <f t="shared" si="31"/>
        <v>574.94679249109834</v>
      </c>
      <c r="AR58" s="12">
        <f t="shared" si="73"/>
        <v>18607979.82</v>
      </c>
      <c r="AS58" s="12">
        <f t="shared" si="74"/>
        <v>3614.9158870158076</v>
      </c>
      <c r="AT58" s="34" t="e">
        <f>#REF!</f>
        <v>#REF!</v>
      </c>
    </row>
    <row r="59" spans="1:48" s="10" customFormat="1" ht="39" customHeight="1" x14ac:dyDescent="0.3">
      <c r="A59" s="9"/>
      <c r="B59" s="123" t="s">
        <v>2</v>
      </c>
      <c r="C59" s="123"/>
      <c r="D59" s="123"/>
      <c r="E59" s="123"/>
      <c r="F59" s="123"/>
      <c r="G59" s="123"/>
      <c r="H59" s="123"/>
      <c r="I59" s="12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93"/>
        <v>18244.099999999999</v>
      </c>
      <c r="Q59" s="12">
        <v>18244.099999999999</v>
      </c>
      <c r="R59" s="12">
        <f t="shared" si="94"/>
        <v>18244.099999999999</v>
      </c>
      <c r="S59" s="12">
        <v>102600.69</v>
      </c>
      <c r="T59" s="12">
        <v>110100.69</v>
      </c>
      <c r="U59" s="12">
        <f t="shared" si="95"/>
        <v>110100.69</v>
      </c>
      <c r="V59" s="12">
        <v>23746.92</v>
      </c>
      <c r="W59" s="12"/>
      <c r="X59" s="12"/>
      <c r="Y59" s="12">
        <f t="shared" si="96"/>
        <v>23746.92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35000</v>
      </c>
      <c r="AF59" s="12">
        <f t="shared" si="20"/>
        <v>35000</v>
      </c>
      <c r="AG59" s="12">
        <f t="shared" si="7"/>
        <v>0</v>
      </c>
      <c r="AH59" s="44">
        <f t="shared" si="3"/>
        <v>35000</v>
      </c>
      <c r="AI59" s="44">
        <v>0</v>
      </c>
      <c r="AJ59" s="12">
        <f t="shared" si="8"/>
        <v>35000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9"/>
        <v>35000</v>
      </c>
      <c r="AO59" s="115">
        <v>0</v>
      </c>
      <c r="AP59" s="12">
        <f t="shared" si="11"/>
        <v>11253.080000000002</v>
      </c>
      <c r="AQ59" s="44">
        <f t="shared" si="31"/>
        <v>147.38753488873508</v>
      </c>
      <c r="AR59" s="12">
        <f t="shared" si="73"/>
        <v>19854.900000000001</v>
      </c>
      <c r="AS59" s="12">
        <f t="shared" si="74"/>
        <v>231.09784682834712</v>
      </c>
      <c r="AT59" s="34">
        <f>AF59</f>
        <v>35000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96"/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f t="shared" si="20"/>
        <v>0</v>
      </c>
      <c r="AG60" s="12">
        <f>AD60-AC60</f>
        <v>0</v>
      </c>
      <c r="AH60" s="44">
        <f t="shared" si="3"/>
        <v>0</v>
      </c>
      <c r="AI60" s="44">
        <v>0</v>
      </c>
      <c r="AJ60" s="12">
        <f t="shared" si="8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9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93"/>
        <v>280404</v>
      </c>
      <c r="Q61" s="12">
        <v>280404</v>
      </c>
      <c r="R61" s="12">
        <f t="shared" si="94"/>
        <v>280404</v>
      </c>
      <c r="S61" s="12">
        <v>0</v>
      </c>
      <c r="T61" s="12">
        <v>0.13999999999941792</v>
      </c>
      <c r="U61" s="12">
        <f t="shared" si="95"/>
        <v>0.13999999999941792</v>
      </c>
      <c r="V61" s="12">
        <v>0.14000000000000001</v>
      </c>
      <c r="W61" s="12"/>
      <c r="X61" s="12"/>
      <c r="Y61" s="12">
        <f t="shared" si="96"/>
        <v>0.14000000000000001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f t="shared" si="20"/>
        <v>0</v>
      </c>
      <c r="AG61" s="12">
        <f t="shared" si="7"/>
        <v>0</v>
      </c>
      <c r="AH61" s="44">
        <f t="shared" si="3"/>
        <v>0</v>
      </c>
      <c r="AI61" s="44">
        <v>0</v>
      </c>
      <c r="AJ61" s="12">
        <f t="shared" si="8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9"/>
        <v>0</v>
      </c>
      <c r="AO61" s="44">
        <v>0</v>
      </c>
      <c r="AP61" s="12">
        <f t="shared" si="11"/>
        <v>-0.14000000000000001</v>
      </c>
      <c r="AQ61" s="44">
        <f t="shared" si="31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23" t="s">
        <v>0</v>
      </c>
      <c r="C62" s="123"/>
      <c r="D62" s="123"/>
      <c r="E62" s="123"/>
      <c r="F62" s="123"/>
      <c r="G62" s="123"/>
      <c r="H62" s="123"/>
      <c r="I62" s="12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93"/>
        <v>-5497492.0700000003</v>
      </c>
      <c r="Q62" s="12">
        <v>-5497492.0700000003</v>
      </c>
      <c r="R62" s="12">
        <f t="shared" si="94"/>
        <v>-5497492.0700000003</v>
      </c>
      <c r="S62" s="12">
        <v>-698316.82</v>
      </c>
      <c r="T62" s="12">
        <v>-698316.82000000018</v>
      </c>
      <c r="U62" s="12">
        <f t="shared" si="95"/>
        <v>-698316.82000000018</v>
      </c>
      <c r="V62" s="12">
        <v>-663081.78</v>
      </c>
      <c r="W62" s="12"/>
      <c r="X62" s="12"/>
      <c r="Y62" s="12">
        <f t="shared" si="96"/>
        <v>-663081.78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-3240638.8599999975</v>
      </c>
      <c r="AF62" s="12">
        <f t="shared" si="20"/>
        <v>-3240638.8599999975</v>
      </c>
      <c r="AG62" s="12">
        <f t="shared" si="7"/>
        <v>0</v>
      </c>
      <c r="AH62" s="44">
        <f t="shared" si="3"/>
        <v>-3240638.8599999975</v>
      </c>
      <c r="AI62" s="44">
        <v>0</v>
      </c>
      <c r="AJ62" s="12">
        <f t="shared" si="8"/>
        <v>-3240638.8599999975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9"/>
        <v>-3240638.8599999975</v>
      </c>
      <c r="AO62" s="12">
        <v>0</v>
      </c>
      <c r="AP62" s="12">
        <f t="shared" si="11"/>
        <v>-2577557.0799999973</v>
      </c>
      <c r="AQ62" s="44">
        <f t="shared" si="31"/>
        <v>488.7238584658437</v>
      </c>
      <c r="AR62" s="12">
        <f>AF62-M62</f>
        <v>714103.60000000242</v>
      </c>
      <c r="AS62" s="12">
        <f>IF(M62=0,0,AF62/M62*100)</f>
        <v>81.94310736482187</v>
      </c>
      <c r="AT62" s="34">
        <f>AF62</f>
        <v>-3240638.8599999975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97">J54+J7</f>
        <v>2092393430.8699999</v>
      </c>
      <c r="K63" s="13">
        <f t="shared" si="97"/>
        <v>2073076231.6351347</v>
      </c>
      <c r="L63" s="28">
        <f t="shared" si="97"/>
        <v>881017080.54999995</v>
      </c>
      <c r="M63" s="26">
        <f t="shared" si="97"/>
        <v>873378594.02554321</v>
      </c>
      <c r="N63" s="12">
        <f t="shared" si="97"/>
        <v>2309803775.2699995</v>
      </c>
      <c r="O63" s="12">
        <f t="shared" si="97"/>
        <v>2328450949.6999998</v>
      </c>
      <c r="P63" s="12">
        <f t="shared" si="97"/>
        <v>2327457942.815587</v>
      </c>
      <c r="Q63" s="12">
        <f t="shared" si="97"/>
        <v>2328450949.6999998</v>
      </c>
      <c r="R63" s="12">
        <f t="shared" si="97"/>
        <v>2324234116.085587</v>
      </c>
      <c r="S63" s="12">
        <f t="shared" si="97"/>
        <v>2468054121.4099998</v>
      </c>
      <c r="T63" s="12">
        <f t="shared" si="97"/>
        <v>2473502940.9500003</v>
      </c>
      <c r="U63" s="12">
        <f t="shared" si="97"/>
        <v>2624074313.2158422</v>
      </c>
      <c r="V63" s="12">
        <f t="shared" si="97"/>
        <v>1305436560.52</v>
      </c>
      <c r="W63" s="12"/>
      <c r="X63" s="12">
        <f t="shared" ref="X63:AF63" si="98">X54+X7</f>
        <v>0</v>
      </c>
      <c r="Y63" s="12">
        <f t="shared" si="98"/>
        <v>1362578185.1385553</v>
      </c>
      <c r="Z63" s="12">
        <f t="shared" si="98"/>
        <v>2141993785.2600002</v>
      </c>
      <c r="AA63" s="12">
        <f t="shared" si="98"/>
        <v>2373281813</v>
      </c>
      <c r="AB63" s="12">
        <f t="shared" si="98"/>
        <v>1361138834.3099999</v>
      </c>
      <c r="AC63" s="12">
        <f t="shared" si="98"/>
        <v>71674065.899999991</v>
      </c>
      <c r="AD63" s="12">
        <f t="shared" si="98"/>
        <v>36642066.530000001</v>
      </c>
      <c r="AE63" s="12">
        <f>AE54+AE7</f>
        <v>1154811919.77</v>
      </c>
      <c r="AF63" s="12">
        <f t="shared" si="98"/>
        <v>1191453986.3000002</v>
      </c>
      <c r="AG63" s="12">
        <f t="shared" si="7"/>
        <v>-35031999.36999999</v>
      </c>
      <c r="AH63" s="12">
        <f t="shared" si="3"/>
        <v>-950539798.96000004</v>
      </c>
      <c r="AI63" s="12">
        <f>AF63/Z63*100</f>
        <v>55.623596786270724</v>
      </c>
      <c r="AJ63" s="12">
        <f>AF63-AA63</f>
        <v>-1181827826.6999998</v>
      </c>
      <c r="AK63" s="12">
        <f t="shared" si="15"/>
        <v>50.202802708622123</v>
      </c>
      <c r="AL63" s="12" t="e">
        <f>AF63-#REF!</f>
        <v>#REF!</v>
      </c>
      <c r="AM63" s="12" t="e">
        <f>IF(#REF!=0,0,AF63/#REF!*100)</f>
        <v>#REF!</v>
      </c>
      <c r="AN63" s="12">
        <f t="shared" si="9"/>
        <v>-169684848.00999975</v>
      </c>
      <c r="AO63" s="12">
        <f t="shared" si="10"/>
        <v>87.533612021582073</v>
      </c>
      <c r="AP63" s="12">
        <f t="shared" si="11"/>
        <v>-171124198.8385551</v>
      </c>
      <c r="AQ63" s="12">
        <f t="shared" si="31"/>
        <v>87.44114644539431</v>
      </c>
      <c r="AR63" s="12">
        <f>AF63-M63</f>
        <v>318075392.27445698</v>
      </c>
      <c r="AS63" s="12">
        <f>IF(M63=0,0,AF63/M63*100)</f>
        <v>136.41895902307337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72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98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1355756088.2285552</v>
      </c>
      <c r="W65" s="94"/>
      <c r="X65" s="101"/>
      <c r="Y65" s="94" t="s">
        <v>97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21"/>
      <c r="AL65" s="121"/>
      <c r="AM65" s="121"/>
      <c r="AN65" s="121"/>
      <c r="AO65" s="121"/>
      <c r="AP65" s="121"/>
    </row>
    <row r="66" spans="1:44" s="78" customFormat="1" ht="18" customHeight="1" x14ac:dyDescent="0.3">
      <c r="O66" s="78" t="s">
        <v>40</v>
      </c>
      <c r="Q66" s="88"/>
      <c r="V66" s="120">
        <f>V63-V10+Y10-V12+Y12</f>
        <v>1362578185.138555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1154811919.77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  <mergeCell ref="AA4:AB5"/>
    <mergeCell ref="B14:I14"/>
    <mergeCell ref="AG4:AG5"/>
    <mergeCell ref="AH4:AI4"/>
    <mergeCell ref="AJ4:AK4"/>
    <mergeCell ref="AL4:AM4"/>
    <mergeCell ref="Y4:Y5"/>
    <mergeCell ref="Z4:Z5"/>
    <mergeCell ref="AC4:AD4"/>
    <mergeCell ref="AE4:AE5"/>
    <mergeCell ref="AF4:AF5"/>
    <mergeCell ref="R4:R5"/>
    <mergeCell ref="S4:S5"/>
    <mergeCell ref="T4:T5"/>
    <mergeCell ref="U4:U5"/>
    <mergeCell ref="V4:V5"/>
    <mergeCell ref="AR4:AS4"/>
    <mergeCell ref="B7:I7"/>
    <mergeCell ref="B10:I10"/>
    <mergeCell ref="B11:I11"/>
    <mergeCell ref="B13:I13"/>
    <mergeCell ref="AN4:AO4"/>
    <mergeCell ref="AP4:AQ4"/>
    <mergeCell ref="X4:X5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9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2024-07-05T13:14:25Z</cp:lastPrinted>
  <dcterms:created xsi:type="dcterms:W3CDTF">2018-12-30T09:36:16Z</dcterms:created>
  <dcterms:modified xsi:type="dcterms:W3CDTF">2024-07-12T13:08:57Z</dcterms:modified>
</cp:coreProperties>
</file>